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0" windowWidth="12150" windowHeight="9000"/>
  </bookViews>
  <sheets>
    <sheet name="A" sheetId="1" r:id="rId1"/>
  </sheets>
  <definedNames>
    <definedName name="ANSWERS">A!$M$68:$Z$121</definedName>
    <definedName name="HEADER">A!$A$5:$J$12</definedName>
    <definedName name="HELP_FILE">A!$AE$1:$AL$18</definedName>
    <definedName name="KNOWLEDGE_BASE">A!$T$1:$AD$29</definedName>
    <definedName name="LOGO">A!$A$1:$J$3</definedName>
    <definedName name="PARAMETERS">A!$A$1:$J$67</definedName>
    <definedName name="_xlnm.Print_Area" localSheetId="0">A!$AE$20:$AL$43</definedName>
    <definedName name="RAW_DATA">A!$A$68:$M$121</definedName>
    <definedName name="RW_CALC">A!$K$44:$T$67</definedName>
    <definedName name="TITLE">A!$AM$1:$AV$22</definedName>
    <definedName name="WEASEL">A!$AE$20:$AL$43</definedName>
  </definedNames>
  <calcPr calcId="144525" calcMode="autoNoTable" iterate="1" iterateCount="1" iterateDelta="0"/>
</workbook>
</file>

<file path=xl/calcChain.xml><?xml version="1.0" encoding="utf-8"?>
<calcChain xmlns="http://schemas.openxmlformats.org/spreadsheetml/2006/main">
  <c r="AQ73" i="1" l="1"/>
  <c r="AJ73" i="1"/>
  <c r="AK73" i="1" s="1"/>
  <c r="AJ74" i="1"/>
  <c r="AK74" i="1"/>
  <c r="AL69" i="1"/>
  <c r="AL73" i="1" s="1"/>
  <c r="C19" i="1"/>
  <c r="AQ74" i="1"/>
  <c r="L15" i="1"/>
  <c r="D37" i="1" s="1"/>
  <c r="H37" i="1" s="1"/>
  <c r="AT69" i="1"/>
  <c r="AJ79" i="1"/>
  <c r="AK79" i="1"/>
  <c r="AL79" i="1"/>
  <c r="AQ79" i="1"/>
  <c r="AJ78" i="1"/>
  <c r="AK78" i="1"/>
  <c r="AL78" i="1"/>
  <c r="AQ78" i="1"/>
  <c r="AJ77" i="1"/>
  <c r="AK77" i="1"/>
  <c r="AL77" i="1"/>
  <c r="AQ77" i="1"/>
  <c r="AJ76" i="1"/>
  <c r="AK76" i="1"/>
  <c r="AL76" i="1"/>
  <c r="AQ76" i="1"/>
  <c r="AJ75" i="1"/>
  <c r="AK75" i="1"/>
  <c r="AL75" i="1"/>
  <c r="AQ75" i="1"/>
  <c r="CB69" i="1"/>
  <c r="L9" i="1"/>
  <c r="AA4" i="1" s="1"/>
  <c r="E25" i="1"/>
  <c r="L5" i="1"/>
  <c r="AO5" i="1"/>
  <c r="AQ5" i="1"/>
  <c r="L6" i="1"/>
  <c r="O6" i="1"/>
  <c r="P6" i="1"/>
  <c r="G43" i="1"/>
  <c r="Q6" i="1"/>
  <c r="R6" i="1"/>
  <c r="Z6" i="1"/>
  <c r="AA6" i="1"/>
  <c r="AD6" i="1"/>
  <c r="AO6" i="1"/>
  <c r="AQ6" i="1"/>
  <c r="AS6" i="1"/>
  <c r="AQ13" i="1"/>
  <c r="AR13" i="1"/>
  <c r="L7" i="1"/>
  <c r="O7" i="1"/>
  <c r="P7" i="1"/>
  <c r="Q7" i="1"/>
  <c r="R7" i="1"/>
  <c r="Z7" i="1"/>
  <c r="AD7" i="1" s="1"/>
  <c r="AA7" i="1"/>
  <c r="AO7" i="1"/>
  <c r="AQ7" i="1"/>
  <c r="L8" i="1"/>
  <c r="O8" i="1"/>
  <c r="P8" i="1"/>
  <c r="Q8" i="1"/>
  <c r="R8" i="1"/>
  <c r="Z8" i="1"/>
  <c r="AD8" i="1" s="1"/>
  <c r="AA8" i="1"/>
  <c r="AO8" i="1"/>
  <c r="AQ8" i="1"/>
  <c r="Z9" i="1"/>
  <c r="AD9" i="1" s="1"/>
  <c r="AA9" i="1"/>
  <c r="AO9" i="1"/>
  <c r="AQ9" i="1"/>
  <c r="L10" i="1"/>
  <c r="Z10" i="1"/>
  <c r="AD10" i="1" s="1"/>
  <c r="AA10" i="1"/>
  <c r="AO10" i="1"/>
  <c r="AQ10" i="1"/>
  <c r="L11" i="1"/>
  <c r="Z11" i="1"/>
  <c r="AD11" i="1" s="1"/>
  <c r="AA11" i="1"/>
  <c r="L12" i="1"/>
  <c r="Z12" i="1"/>
  <c r="AD12" i="1" s="1"/>
  <c r="AA12" i="1"/>
  <c r="AO12" i="1"/>
  <c r="AQ12" i="1"/>
  <c r="L13" i="1"/>
  <c r="Z13" i="1"/>
  <c r="AD13" i="1" s="1"/>
  <c r="AA13" i="1"/>
  <c r="AO13" i="1"/>
  <c r="L14" i="1"/>
  <c r="Z14" i="1"/>
  <c r="AA14" i="1"/>
  <c r="AD14" i="1"/>
  <c r="AO14" i="1"/>
  <c r="AQ14" i="1"/>
  <c r="Z15" i="1"/>
  <c r="AA15" i="1"/>
  <c r="AQ15" i="1"/>
  <c r="L28" i="1"/>
  <c r="D16" i="1"/>
  <c r="L25" i="1"/>
  <c r="E16" i="1" s="1"/>
  <c r="L16" i="1"/>
  <c r="Z16" i="1"/>
  <c r="AA16" i="1"/>
  <c r="AD16" i="1"/>
  <c r="L17" i="1"/>
  <c r="Z17" i="1"/>
  <c r="AA17" i="1"/>
  <c r="AD17" i="1"/>
  <c r="L18" i="1"/>
  <c r="Z18" i="1"/>
  <c r="AA18" i="1"/>
  <c r="AD18" i="1"/>
  <c r="E31" i="1"/>
  <c r="L19" i="1"/>
  <c r="Z19" i="1"/>
  <c r="AD19" i="1" s="1"/>
  <c r="AA19" i="1"/>
  <c r="L20" i="1"/>
  <c r="Z20" i="1"/>
  <c r="AD20" i="1" s="1"/>
  <c r="AA20" i="1"/>
  <c r="L21" i="1"/>
  <c r="Z21" i="1"/>
  <c r="AD21" i="1" s="1"/>
  <c r="AA21" i="1"/>
  <c r="E22" i="1"/>
  <c r="L22" i="1"/>
  <c r="Z22" i="1"/>
  <c r="AD22" i="1" s="1"/>
  <c r="AA22" i="1"/>
  <c r="L23" i="1"/>
  <c r="Z23" i="1"/>
  <c r="AD23" i="1" s="1"/>
  <c r="AA23" i="1"/>
  <c r="L24" i="1"/>
  <c r="B48" i="1" s="1"/>
  <c r="Z24" i="1"/>
  <c r="AD24" i="1" s="1"/>
  <c r="AA24" i="1"/>
  <c r="S57" i="1"/>
  <c r="S58" i="1"/>
  <c r="S59" i="1"/>
  <c r="Q61" i="1"/>
  <c r="S55" i="1"/>
  <c r="Z25" i="1"/>
  <c r="AA25" i="1"/>
  <c r="L26" i="1"/>
  <c r="Z26" i="1"/>
  <c r="AD26" i="1" s="1"/>
  <c r="AA26" i="1"/>
  <c r="L27" i="1"/>
  <c r="Z27" i="1"/>
  <c r="AD27" i="1" s="1"/>
  <c r="AA27" i="1"/>
  <c r="D28" i="1"/>
  <c r="E28" i="1"/>
  <c r="Z28" i="1"/>
  <c r="AA28" i="1"/>
  <c r="L29" i="1"/>
  <c r="L30" i="1"/>
  <c r="B45" i="1" s="1"/>
  <c r="L31" i="1"/>
  <c r="L32" i="1"/>
  <c r="T83" i="1" s="1"/>
  <c r="L33" i="1"/>
  <c r="E34" i="1"/>
  <c r="L34" i="1"/>
  <c r="L35" i="1"/>
  <c r="L36" i="1"/>
  <c r="E37" i="1"/>
  <c r="L37" i="1"/>
  <c r="L38" i="1"/>
  <c r="L39" i="1"/>
  <c r="L40" i="1"/>
  <c r="A48" i="1"/>
  <c r="S49" i="1"/>
  <c r="T49" i="1"/>
  <c r="T58" i="1"/>
  <c r="BY68" i="1"/>
  <c r="BY69" i="1" s="1"/>
  <c r="BY70" i="1" s="1"/>
  <c r="BY71" i="1" s="1"/>
  <c r="BY72" i="1" s="1"/>
  <c r="BY73" i="1" s="1"/>
  <c r="AJ69" i="1"/>
  <c r="BP69" i="1"/>
  <c r="BQ69" i="1"/>
  <c r="BR69" i="1"/>
  <c r="BS69" i="1"/>
  <c r="A73" i="1"/>
  <c r="B73" i="1"/>
  <c r="A74" i="1"/>
  <c r="Z74" i="1" s="1"/>
  <c r="B74" i="1"/>
  <c r="M74" i="1" s="1"/>
  <c r="A75" i="1"/>
  <c r="B75" i="1"/>
  <c r="A76" i="1"/>
  <c r="Z76" i="1" s="1"/>
  <c r="B76" i="1"/>
  <c r="A77" i="1"/>
  <c r="B77" i="1"/>
  <c r="A78" i="1"/>
  <c r="B78" i="1"/>
  <c r="A79" i="1"/>
  <c r="B79" i="1"/>
  <c r="M79" i="1" s="1"/>
  <c r="P70" i="1"/>
  <c r="W70" i="1"/>
  <c r="X70" i="1"/>
  <c r="Y70" i="1"/>
  <c r="A71" i="1"/>
  <c r="L71" i="1"/>
  <c r="M71" i="1"/>
  <c r="V71" i="1"/>
  <c r="F73" i="1"/>
  <c r="AB73" i="1"/>
  <c r="AC73" i="1"/>
  <c r="AD73" i="1"/>
  <c r="AE73" i="1"/>
  <c r="AF73" i="1"/>
  <c r="AG73" i="1"/>
  <c r="AH73" i="1"/>
  <c r="BQ73" i="1"/>
  <c r="BR73" i="1"/>
  <c r="BS73" i="1"/>
  <c r="BX73" i="1"/>
  <c r="BZ73" i="1"/>
  <c r="DN73" i="1"/>
  <c r="DO73" i="1"/>
  <c r="DP73" i="1"/>
  <c r="F74" i="1"/>
  <c r="AB74" i="1"/>
  <c r="AC74" i="1"/>
  <c r="AD74" i="1"/>
  <c r="AE74" i="1"/>
  <c r="AF74" i="1"/>
  <c r="AG74" i="1"/>
  <c r="AH74" i="1"/>
  <c r="BQ74" i="1"/>
  <c r="BR74" i="1"/>
  <c r="BS74" i="1"/>
  <c r="BX74" i="1"/>
  <c r="BZ74" i="1"/>
  <c r="DN74" i="1"/>
  <c r="DO74" i="1"/>
  <c r="DP74" i="1"/>
  <c r="F75" i="1"/>
  <c r="Z75" i="1"/>
  <c r="AB75" i="1"/>
  <c r="AC75" i="1"/>
  <c r="AD75" i="1"/>
  <c r="AE75" i="1"/>
  <c r="AF75" i="1"/>
  <c r="AG75" i="1"/>
  <c r="AH75" i="1"/>
  <c r="BQ75" i="1"/>
  <c r="BR75" i="1"/>
  <c r="BS75" i="1"/>
  <c r="BX75" i="1"/>
  <c r="BZ75" i="1"/>
  <c r="DN75" i="1"/>
  <c r="DO75" i="1"/>
  <c r="DP75" i="1"/>
  <c r="F76" i="1"/>
  <c r="AB76" i="1"/>
  <c r="AC76" i="1"/>
  <c r="AD76" i="1"/>
  <c r="AE76" i="1"/>
  <c r="AF76" i="1"/>
  <c r="AG76" i="1"/>
  <c r="AH76" i="1"/>
  <c r="BQ76" i="1"/>
  <c r="BR76" i="1"/>
  <c r="BS76" i="1"/>
  <c r="BX76" i="1"/>
  <c r="BZ76" i="1"/>
  <c r="DN76" i="1"/>
  <c r="DO76" i="1"/>
  <c r="DP76" i="1"/>
  <c r="F77" i="1"/>
  <c r="Z77" i="1"/>
  <c r="AB77" i="1"/>
  <c r="AC77" i="1"/>
  <c r="AD77" i="1"/>
  <c r="AE77" i="1"/>
  <c r="AF77" i="1"/>
  <c r="AG77" i="1"/>
  <c r="AH77" i="1"/>
  <c r="BQ77" i="1"/>
  <c r="BR77" i="1"/>
  <c r="BS77" i="1"/>
  <c r="BX77" i="1"/>
  <c r="BZ77" i="1"/>
  <c r="DN77" i="1"/>
  <c r="DO77" i="1"/>
  <c r="DP77" i="1"/>
  <c r="F78" i="1"/>
  <c r="AB78" i="1"/>
  <c r="AC78" i="1"/>
  <c r="AD78" i="1"/>
  <c r="AE78" i="1"/>
  <c r="AF78" i="1"/>
  <c r="AG78" i="1"/>
  <c r="AH78" i="1"/>
  <c r="BQ78" i="1"/>
  <c r="BR78" i="1"/>
  <c r="BS78" i="1"/>
  <c r="BX78" i="1"/>
  <c r="BZ78" i="1"/>
  <c r="DN78" i="1"/>
  <c r="DO78" i="1"/>
  <c r="DP78" i="1"/>
  <c r="F79" i="1"/>
  <c r="Z79" i="1"/>
  <c r="AB79" i="1"/>
  <c r="AC79" i="1"/>
  <c r="AD79" i="1"/>
  <c r="AE79" i="1"/>
  <c r="AF79" i="1"/>
  <c r="AG79" i="1"/>
  <c r="AH79" i="1"/>
  <c r="BQ79" i="1"/>
  <c r="BR79" i="1"/>
  <c r="BS79" i="1"/>
  <c r="BX79" i="1"/>
  <c r="BZ79" i="1"/>
  <c r="DN79" i="1"/>
  <c r="DO79" i="1"/>
  <c r="DP79" i="1"/>
  <c r="P82" i="1"/>
  <c r="S82" i="1"/>
  <c r="R83" i="1"/>
  <c r="U83" i="1"/>
  <c r="W84" i="1"/>
  <c r="X84" i="1"/>
  <c r="Y84" i="1"/>
  <c r="Z84" i="1"/>
  <c r="W85" i="1"/>
  <c r="X85" i="1"/>
  <c r="Y85" i="1"/>
  <c r="Z85" i="1"/>
  <c r="W86" i="1"/>
  <c r="X86" i="1"/>
  <c r="Y86" i="1"/>
  <c r="Z86" i="1"/>
  <c r="S56" i="1" l="1"/>
  <c r="A42" i="1" s="1"/>
  <c r="AI75" i="1" s="1"/>
  <c r="M78" i="1"/>
  <c r="Z71" i="1"/>
  <c r="F71" i="1"/>
  <c r="M77" i="1"/>
  <c r="T64" i="1"/>
  <c r="T56" i="1"/>
  <c r="B42" i="1"/>
  <c r="T57" i="1"/>
  <c r="S83" i="1"/>
  <c r="Z78" i="1"/>
  <c r="B71" i="1"/>
  <c r="M76" i="1"/>
  <c r="T59" i="1"/>
  <c r="T55" i="1"/>
  <c r="AA5" i="1"/>
  <c r="B51" i="1"/>
  <c r="AI71" i="1"/>
  <c r="BY74" i="1"/>
  <c r="M73" i="1"/>
  <c r="Z73" i="1"/>
  <c r="M75" i="1"/>
  <c r="E19" i="1"/>
  <c r="AR69" i="1" s="1"/>
  <c r="AD28" i="1"/>
  <c r="AD25" i="1"/>
  <c r="AD15" i="1"/>
  <c r="A45" i="1"/>
  <c r="AI69" i="1" s="1"/>
  <c r="AI76" i="1" s="1"/>
  <c r="D31" i="1"/>
  <c r="D34" i="1"/>
  <c r="Z5" i="1"/>
  <c r="Z4" i="1"/>
  <c r="D25" i="1"/>
  <c r="AC12" i="1" s="1"/>
  <c r="C39" i="1"/>
  <c r="AY69" i="1" s="1"/>
  <c r="AL74" i="1"/>
  <c r="F34" i="1" l="1"/>
  <c r="AI74" i="1"/>
  <c r="S64" i="1"/>
  <c r="S61" i="1" s="1"/>
  <c r="AI73" i="1"/>
  <c r="AB5" i="1"/>
  <c r="AB12" i="1"/>
  <c r="AO75" i="1"/>
  <c r="AO73" i="1"/>
  <c r="F31" i="1"/>
  <c r="AB28" i="1"/>
  <c r="D19" i="1"/>
  <c r="BB69" i="1" s="1"/>
  <c r="H31" i="1"/>
  <c r="CA69" i="1"/>
  <c r="G31" i="1"/>
  <c r="P64" i="1"/>
  <c r="A51" i="1"/>
  <c r="AB6" i="1"/>
  <c r="AC7" i="1"/>
  <c r="AC8" i="1"/>
  <c r="AC10" i="1"/>
  <c r="AC11" i="1"/>
  <c r="F37" i="1"/>
  <c r="AB9" i="1"/>
  <c r="AB14" i="1"/>
  <c r="AB17" i="1"/>
  <c r="AB20" i="1"/>
  <c r="AB7" i="1"/>
  <c r="AB8" i="1"/>
  <c r="AC9" i="1"/>
  <c r="AB10" i="1"/>
  <c r="AB11" i="1"/>
  <c r="CC69" i="1"/>
  <c r="AC17" i="1"/>
  <c r="AB22" i="1"/>
  <c r="AB26" i="1"/>
  <c r="G37" i="1"/>
  <c r="CI69" i="1" s="1"/>
  <c r="AC14" i="1"/>
  <c r="AB24" i="1"/>
  <c r="AC27" i="1"/>
  <c r="AC20" i="1"/>
  <c r="AO79" i="1"/>
  <c r="AC13" i="1"/>
  <c r="AC23" i="1"/>
  <c r="AC19" i="1"/>
  <c r="AC15" i="1"/>
  <c r="AB19" i="1"/>
  <c r="D22" i="1"/>
  <c r="AO78" i="1"/>
  <c r="AB15" i="1"/>
  <c r="AB23" i="1"/>
  <c r="AC6" i="1"/>
  <c r="AC21" i="1"/>
  <c r="AB4" i="1"/>
  <c r="AC4" i="1"/>
  <c r="AD4" i="1"/>
  <c r="AO74" i="1"/>
  <c r="AO77" i="1"/>
  <c r="AB16" i="1"/>
  <c r="AC24" i="1"/>
  <c r="AB13" i="1"/>
  <c r="AI79" i="1"/>
  <c r="AI77" i="1"/>
  <c r="AC25" i="1"/>
  <c r="AC16" i="1"/>
  <c r="AB21" i="1"/>
  <c r="AI78" i="1"/>
  <c r="BY75" i="1"/>
  <c r="AC5" i="1"/>
  <c r="AD5" i="1"/>
  <c r="G34" i="1"/>
  <c r="H34" i="1"/>
  <c r="CK69" i="1" s="1"/>
  <c r="AO76" i="1"/>
  <c r="AC18" i="1"/>
  <c r="AB27" i="1"/>
  <c r="AB18" i="1"/>
  <c r="AB25" i="1"/>
  <c r="AC28" i="1"/>
  <c r="AC26" i="1"/>
  <c r="AC22" i="1"/>
  <c r="M61" i="1" l="1"/>
  <c r="O61" i="1"/>
  <c r="CH69" i="1"/>
  <c r="CD69" i="1"/>
  <c r="AX69" i="1"/>
  <c r="AS69" i="1"/>
  <c r="AV69" i="1"/>
  <c r="CE69" i="1"/>
  <c r="CG69" i="1"/>
  <c r="BY76" i="1"/>
  <c r="AP69" i="1"/>
  <c r="AP74" i="1" s="1"/>
  <c r="CL69" i="1"/>
  <c r="CM69" i="1"/>
  <c r="AP73" i="1" l="1"/>
  <c r="AV73" i="1" s="1"/>
  <c r="AP77" i="1"/>
  <c r="AP79" i="1"/>
  <c r="AV79" i="1" s="1"/>
  <c r="AP78" i="1"/>
  <c r="BY77" i="1"/>
  <c r="AV71" i="1"/>
  <c r="AV74" i="1"/>
  <c r="AW69" i="1"/>
  <c r="AV78" i="1"/>
  <c r="AP76" i="1"/>
  <c r="AP75" i="1"/>
  <c r="AV75" i="1" s="1"/>
  <c r="AQ69" i="1"/>
  <c r="AU74" i="1" s="1"/>
  <c r="AM69" i="1"/>
  <c r="AM74" i="1" s="1"/>
  <c r="AN74" i="1" s="1"/>
  <c r="N74" i="1" s="1"/>
  <c r="S63" i="1"/>
  <c r="B25" i="1" s="1"/>
  <c r="AN69" i="1" s="1"/>
  <c r="AU77" i="1" l="1"/>
  <c r="AM73" i="1"/>
  <c r="AN73" i="1" s="1"/>
  <c r="N73" i="1" s="1"/>
  <c r="AS73" i="1" s="1"/>
  <c r="AV77" i="1"/>
  <c r="AW77" i="1" s="1"/>
  <c r="AM79" i="1"/>
  <c r="AN79" i="1" s="1"/>
  <c r="N79" i="1" s="1"/>
  <c r="AW79" i="1" s="1"/>
  <c r="AU73" i="1"/>
  <c r="AU78" i="1"/>
  <c r="AY74" i="1"/>
  <c r="AX74" i="1"/>
  <c r="BE74" i="1"/>
  <c r="AT74" i="1"/>
  <c r="AR74" i="1"/>
  <c r="CB74" i="1"/>
  <c r="AS74" i="1"/>
  <c r="AA73" i="1"/>
  <c r="AA77" i="1"/>
  <c r="AA79" i="1"/>
  <c r="AA75" i="1"/>
  <c r="AA78" i="1"/>
  <c r="AA74" i="1"/>
  <c r="AA76" i="1"/>
  <c r="BK69" i="1"/>
  <c r="BK73" i="1" s="1"/>
  <c r="AU79" i="1"/>
  <c r="AX79" i="1"/>
  <c r="AR79" i="1"/>
  <c r="BE79" i="1"/>
  <c r="AT79" i="1"/>
  <c r="CB79" i="1"/>
  <c r="AM78" i="1"/>
  <c r="AN78" i="1" s="1"/>
  <c r="N78" i="1" s="1"/>
  <c r="AW78" i="1" s="1"/>
  <c r="AM76" i="1"/>
  <c r="AN76" i="1" s="1"/>
  <c r="N76" i="1" s="1"/>
  <c r="AS76" i="1" s="1"/>
  <c r="AU76" i="1"/>
  <c r="AV76" i="1"/>
  <c r="AM77" i="1"/>
  <c r="AN77" i="1" s="1"/>
  <c r="N77" i="1" s="1"/>
  <c r="BY78" i="1"/>
  <c r="AT73" i="1"/>
  <c r="AR73" i="1"/>
  <c r="AM75" i="1"/>
  <c r="AN75" i="1" s="1"/>
  <c r="N75" i="1" s="1"/>
  <c r="AS75" i="1" s="1"/>
  <c r="AU75" i="1"/>
  <c r="AW74" i="1"/>
  <c r="AW73" i="1"/>
  <c r="AS79" i="1"/>
  <c r="AX73" i="1" l="1"/>
  <c r="CC73" i="1" s="1"/>
  <c r="CE73" i="1" s="1"/>
  <c r="AY79" i="1"/>
  <c r="CB73" i="1"/>
  <c r="BE73" i="1"/>
  <c r="AY73" i="1"/>
  <c r="AZ73" i="1" s="1"/>
  <c r="BA73" i="1" s="1"/>
  <c r="AX78" i="1"/>
  <c r="AY78" i="1"/>
  <c r="AT78" i="1"/>
  <c r="AR78" i="1"/>
  <c r="BE78" i="1"/>
  <c r="CB78" i="1"/>
  <c r="AS78" i="1"/>
  <c r="BK77" i="1"/>
  <c r="BL77" i="1" s="1"/>
  <c r="BM77" i="1" s="1"/>
  <c r="AZ79" i="1"/>
  <c r="BA79" i="1" s="1"/>
  <c r="CD79" i="1"/>
  <c r="CF79" i="1" s="1"/>
  <c r="BK75" i="1"/>
  <c r="CC74" i="1"/>
  <c r="AW75" i="1"/>
  <c r="CD73" i="1"/>
  <c r="CF73" i="1" s="1"/>
  <c r="BY79" i="1"/>
  <c r="BK74" i="1"/>
  <c r="BL74" i="1" s="1"/>
  <c r="BM74" i="1" s="1"/>
  <c r="BK78" i="1"/>
  <c r="BL78" i="1" s="1"/>
  <c r="BM78" i="1" s="1"/>
  <c r="BL73" i="1"/>
  <c r="BM73" i="1" s="1"/>
  <c r="AZ74" i="1"/>
  <c r="BA74" i="1" s="1"/>
  <c r="CD74" i="1"/>
  <c r="CF74" i="1" s="1"/>
  <c r="AW76" i="1"/>
  <c r="AX75" i="1"/>
  <c r="AY75" i="1"/>
  <c r="BE75" i="1"/>
  <c r="AT75" i="1"/>
  <c r="AR75" i="1"/>
  <c r="CB75" i="1"/>
  <c r="AX77" i="1"/>
  <c r="AY77" i="1"/>
  <c r="AT77" i="1"/>
  <c r="BE77" i="1"/>
  <c r="AR77" i="1"/>
  <c r="CB77" i="1"/>
  <c r="AS77" i="1"/>
  <c r="AX76" i="1"/>
  <c r="AY76" i="1"/>
  <c r="AT76" i="1"/>
  <c r="BE76" i="1"/>
  <c r="AR76" i="1"/>
  <c r="CC76" i="1" s="1"/>
  <c r="CB76" i="1"/>
  <c r="CC79" i="1"/>
  <c r="BK79" i="1"/>
  <c r="BL79" i="1" s="1"/>
  <c r="BM79" i="1" s="1"/>
  <c r="BK76" i="1"/>
  <c r="BL76" i="1" s="1"/>
  <c r="BM76" i="1" s="1"/>
  <c r="BL75" i="1"/>
  <c r="BM75" i="1" s="1"/>
  <c r="BB79" i="1" l="1"/>
  <c r="CK79" i="1" s="1"/>
  <c r="CG79" i="1"/>
  <c r="CE79" i="1"/>
  <c r="BY80" i="1"/>
  <c r="BY81" i="1" s="1"/>
  <c r="BY82" i="1" s="1"/>
  <c r="BY83" i="1" s="1"/>
  <c r="BY84" i="1" s="1"/>
  <c r="BY85" i="1" s="1"/>
  <c r="BY86" i="1" s="1"/>
  <c r="BY121" i="1" s="1"/>
  <c r="BB73" i="1"/>
  <c r="CK73" i="1" s="1"/>
  <c r="AZ76" i="1"/>
  <c r="BA76" i="1" s="1"/>
  <c r="CD76" i="1"/>
  <c r="CF76" i="1" s="1"/>
  <c r="CC78" i="1"/>
  <c r="AZ78" i="1"/>
  <c r="BA78" i="1" s="1"/>
  <c r="CD78" i="1"/>
  <c r="CF78" i="1" s="1"/>
  <c r="CE76" i="1"/>
  <c r="CG73" i="1"/>
  <c r="CC77" i="1"/>
  <c r="AZ77" i="1"/>
  <c r="BA77" i="1" s="1"/>
  <c r="CD77" i="1"/>
  <c r="CF77" i="1" s="1"/>
  <c r="CC75" i="1"/>
  <c r="AZ75" i="1"/>
  <c r="BA75" i="1" s="1"/>
  <c r="CD75" i="1"/>
  <c r="CF75" i="1" s="1"/>
  <c r="BB74" i="1"/>
  <c r="CG74" i="1"/>
  <c r="CE74" i="1"/>
  <c r="BF79" i="1"/>
  <c r="BF73" i="1"/>
  <c r="BF74" i="1"/>
  <c r="CG76" i="1" l="1"/>
  <c r="CH76" i="1" s="1"/>
  <c r="CJ76" i="1" s="1"/>
  <c r="O74" i="1"/>
  <c r="O73" i="1"/>
  <c r="O79" i="1"/>
  <c r="CL79" i="1"/>
  <c r="CM79" i="1" s="1"/>
  <c r="CL73" i="1"/>
  <c r="CM73" i="1" s="1"/>
  <c r="BB78" i="1"/>
  <c r="CK78" i="1" s="1"/>
  <c r="BB77" i="1"/>
  <c r="CE78" i="1"/>
  <c r="CG78" i="1"/>
  <c r="CH79" i="1"/>
  <c r="CJ79" i="1" s="1"/>
  <c r="CI79" i="1"/>
  <c r="CH74" i="1"/>
  <c r="CJ74" i="1" s="1"/>
  <c r="BB75" i="1"/>
  <c r="CK75" i="1" s="1"/>
  <c r="CE77" i="1"/>
  <c r="CG77" i="1"/>
  <c r="CK74" i="1"/>
  <c r="CE75" i="1"/>
  <c r="CG75" i="1"/>
  <c r="CH73" i="1"/>
  <c r="CJ73" i="1" s="1"/>
  <c r="BB76" i="1"/>
  <c r="CK76" i="1" s="1"/>
  <c r="W79" i="1"/>
  <c r="BF77" i="1"/>
  <c r="W73" i="1"/>
  <c r="BF76" i="1"/>
  <c r="BF78" i="1"/>
  <c r="BF75" i="1"/>
  <c r="CN79" i="1" l="1"/>
  <c r="CI76" i="1"/>
  <c r="CN73" i="1"/>
  <c r="X73" i="1" s="1"/>
  <c r="Y73" i="1" s="1"/>
  <c r="BC73" i="1" s="1"/>
  <c r="BD73" i="1" s="1"/>
  <c r="CI73" i="1"/>
  <c r="O77" i="1"/>
  <c r="X79" i="1"/>
  <c r="Y79" i="1" s="1"/>
  <c r="O76" i="1"/>
  <c r="O75" i="1"/>
  <c r="O78" i="1"/>
  <c r="CL75" i="1"/>
  <c r="CM75" i="1" s="1"/>
  <c r="CH78" i="1"/>
  <c r="CI78" i="1" s="1"/>
  <c r="CL78" i="1"/>
  <c r="CN78" i="1" s="1"/>
  <c r="BO73" i="1"/>
  <c r="DK73" i="1"/>
  <c r="BW73" i="1"/>
  <c r="DM73" i="1"/>
  <c r="DQ73" i="1"/>
  <c r="R73" i="1"/>
  <c r="V73" i="1"/>
  <c r="CA73" i="1" s="1"/>
  <c r="BG73" i="1"/>
  <c r="BH73" i="1"/>
  <c r="BI73" i="1" s="1"/>
  <c r="BJ73" i="1" s="1"/>
  <c r="BN73" i="1"/>
  <c r="BO74" i="1"/>
  <c r="R74" i="1"/>
  <c r="BW74" i="1"/>
  <c r="DM74" i="1"/>
  <c r="DQ74" i="1"/>
  <c r="DK74" i="1"/>
  <c r="V74" i="1"/>
  <c r="CA74" i="1" s="1"/>
  <c r="BG74" i="1"/>
  <c r="BH74" i="1"/>
  <c r="BI74" i="1" s="1"/>
  <c r="BJ74" i="1" s="1"/>
  <c r="BN74" i="1"/>
  <c r="CH77" i="1"/>
  <c r="CJ77" i="1" s="1"/>
  <c r="CI74" i="1"/>
  <c r="CK77" i="1"/>
  <c r="CL74" i="1"/>
  <c r="CM74" i="1" s="1"/>
  <c r="CN74" i="1"/>
  <c r="CL76" i="1"/>
  <c r="CN76" i="1" s="1"/>
  <c r="CH75" i="1"/>
  <c r="CI75" i="1" s="1"/>
  <c r="BO79" i="1"/>
  <c r="BW79" i="1"/>
  <c r="R79" i="1"/>
  <c r="DM79" i="1"/>
  <c r="DQ79" i="1"/>
  <c r="DK79" i="1"/>
  <c r="V79" i="1"/>
  <c r="CA79" i="1" s="1"/>
  <c r="BH79" i="1"/>
  <c r="BI79" i="1" s="1"/>
  <c r="BJ79" i="1" s="1"/>
  <c r="BG79" i="1"/>
  <c r="BN79" i="1"/>
  <c r="P79" i="1"/>
  <c r="W74" i="1"/>
  <c r="P74" i="1"/>
  <c r="W75" i="1"/>
  <c r="P73" i="1"/>
  <c r="CM76" i="1" l="1"/>
  <c r="CM78" i="1"/>
  <c r="CN75" i="1"/>
  <c r="X75" i="1" s="1"/>
  <c r="X74" i="1"/>
  <c r="Y74" i="1" s="1"/>
  <c r="BC74" i="1" s="1"/>
  <c r="BD74" i="1" s="1"/>
  <c r="DJ74" i="1"/>
  <c r="S74" i="1"/>
  <c r="BP74" i="1" s="1"/>
  <c r="DJ73" i="1"/>
  <c r="S73" i="1"/>
  <c r="BP73" i="1" s="1"/>
  <c r="DJ79" i="1"/>
  <c r="S79" i="1"/>
  <c r="BP79" i="1" s="1"/>
  <c r="BO76" i="1"/>
  <c r="DK76" i="1"/>
  <c r="BW76" i="1"/>
  <c r="DM76" i="1"/>
  <c r="DQ76" i="1"/>
  <c r="R76" i="1"/>
  <c r="BH76" i="1"/>
  <c r="BI76" i="1" s="1"/>
  <c r="BJ76" i="1" s="1"/>
  <c r="BG76" i="1"/>
  <c r="V76" i="1"/>
  <c r="CA76" i="1" s="1"/>
  <c r="BN76" i="1"/>
  <c r="BO77" i="1"/>
  <c r="R77" i="1"/>
  <c r="BW77" i="1"/>
  <c r="DM77" i="1"/>
  <c r="DQ77" i="1"/>
  <c r="DK77" i="1"/>
  <c r="BH77" i="1"/>
  <c r="BI77" i="1" s="1"/>
  <c r="BJ77" i="1" s="1"/>
  <c r="V77" i="1"/>
  <c r="CA77" i="1" s="1"/>
  <c r="BG77" i="1"/>
  <c r="BN77" i="1"/>
  <c r="CJ75" i="1"/>
  <c r="CI77" i="1"/>
  <c r="CJ78" i="1"/>
  <c r="BC79" i="1"/>
  <c r="BD79" i="1" s="1"/>
  <c r="CL77" i="1"/>
  <c r="CM77" i="1" s="1"/>
  <c r="BO78" i="1"/>
  <c r="DK78" i="1"/>
  <c r="R78" i="1"/>
  <c r="DM78" i="1"/>
  <c r="BW78" i="1"/>
  <c r="DQ78" i="1"/>
  <c r="BG78" i="1"/>
  <c r="V78" i="1"/>
  <c r="CA78" i="1" s="1"/>
  <c r="BH78" i="1"/>
  <c r="BI78" i="1" s="1"/>
  <c r="BJ78" i="1" s="1"/>
  <c r="BN78" i="1"/>
  <c r="BO75" i="1"/>
  <c r="DM75" i="1"/>
  <c r="DQ75" i="1"/>
  <c r="BW75" i="1"/>
  <c r="R75" i="1"/>
  <c r="DK75" i="1"/>
  <c r="V75" i="1"/>
  <c r="CA75" i="1" s="1"/>
  <c r="BH75" i="1"/>
  <c r="BI75" i="1" s="1"/>
  <c r="BJ75" i="1" s="1"/>
  <c r="BG75" i="1"/>
  <c r="BN75" i="1"/>
  <c r="P77" i="1"/>
  <c r="P78" i="1"/>
  <c r="W78" i="1"/>
  <c r="W77" i="1"/>
  <c r="P76" i="1"/>
  <c r="P75" i="1"/>
  <c r="W76" i="1"/>
  <c r="X76" i="1" l="1"/>
  <c r="X78" i="1"/>
  <c r="Y75" i="1"/>
  <c r="BC75" i="1" s="1"/>
  <c r="BD75" i="1" s="1"/>
  <c r="DJ75" i="1"/>
  <c r="S75" i="1"/>
  <c r="BP75" i="1" s="1"/>
  <c r="DJ78" i="1"/>
  <c r="S78" i="1"/>
  <c r="BP78" i="1" s="1"/>
  <c r="DJ77" i="1"/>
  <c r="S77" i="1"/>
  <c r="BP77" i="1" s="1"/>
  <c r="DJ76" i="1"/>
  <c r="S76" i="1"/>
  <c r="BP76" i="1" s="1"/>
  <c r="BV79" i="1"/>
  <c r="BU79" i="1"/>
  <c r="BT79" i="1"/>
  <c r="BT73" i="1"/>
  <c r="BU73" i="1"/>
  <c r="BV73" i="1"/>
  <c r="CN77" i="1"/>
  <c r="X77" i="1" s="1"/>
  <c r="BU74" i="1"/>
  <c r="BT74" i="1"/>
  <c r="BV74" i="1"/>
  <c r="Q74" i="1"/>
  <c r="Q79" i="1"/>
  <c r="Q73" i="1"/>
  <c r="Y76" i="1" l="1"/>
  <c r="BC76" i="1" s="1"/>
  <c r="BD76" i="1" s="1"/>
  <c r="Y78" i="1"/>
  <c r="BC78" i="1" s="1"/>
  <c r="BD78" i="1" s="1"/>
  <c r="DL79" i="1"/>
  <c r="CP79" i="1"/>
  <c r="CZ79" i="1" s="1"/>
  <c r="CQ79" i="1"/>
  <c r="DE79" i="1" s="1"/>
  <c r="CO79" i="1"/>
  <c r="CU79" i="1" s="1"/>
  <c r="DL74" i="1"/>
  <c r="CQ74" i="1"/>
  <c r="DE74" i="1" s="1"/>
  <c r="CO74" i="1"/>
  <c r="CP74" i="1"/>
  <c r="DL73" i="1"/>
  <c r="CQ73" i="1"/>
  <c r="DE73" i="1" s="1"/>
  <c r="CO73" i="1"/>
  <c r="CP73" i="1"/>
  <c r="Y77" i="1"/>
  <c r="BC77" i="1" s="1"/>
  <c r="BD77" i="1" s="1"/>
  <c r="BV75" i="1"/>
  <c r="BU75" i="1"/>
  <c r="BT75" i="1"/>
  <c r="BV76" i="1"/>
  <c r="BU76" i="1"/>
  <c r="BT76" i="1"/>
  <c r="BT77" i="1"/>
  <c r="BV77" i="1"/>
  <c r="BU77" i="1"/>
  <c r="BT78" i="1"/>
  <c r="BV78" i="1"/>
  <c r="BU78" i="1"/>
  <c r="Q76" i="1"/>
  <c r="Q75" i="1"/>
  <c r="Q78" i="1"/>
  <c r="Q77" i="1"/>
  <c r="DL77" i="1" l="1"/>
  <c r="CP77" i="1"/>
  <c r="CO77" i="1"/>
  <c r="CQ77" i="1"/>
  <c r="DE77" i="1" s="1"/>
  <c r="DL75" i="1"/>
  <c r="CP75" i="1"/>
  <c r="CQ75" i="1"/>
  <c r="CO75" i="1"/>
  <c r="DL78" i="1"/>
  <c r="CQ78" i="1"/>
  <c r="CO78" i="1"/>
  <c r="CP78" i="1"/>
  <c r="CZ78" i="1" s="1"/>
  <c r="DL76" i="1"/>
  <c r="CQ76" i="1"/>
  <c r="CP76" i="1"/>
  <c r="CZ76" i="1" s="1"/>
  <c r="CO76" i="1"/>
  <c r="DA74" i="1"/>
  <c r="CW74" i="1"/>
  <c r="CX74" i="1"/>
  <c r="CY74" i="1" s="1"/>
  <c r="DA73" i="1"/>
  <c r="CW73" i="1"/>
  <c r="CX73" i="1"/>
  <c r="DA79" i="1"/>
  <c r="CW79" i="1"/>
  <c r="CX79" i="1"/>
  <c r="CY79" i="1" s="1"/>
  <c r="CV73" i="1"/>
  <c r="CR73" i="1"/>
  <c r="CS73" i="1"/>
  <c r="CZ73" i="1"/>
  <c r="T74" i="1"/>
  <c r="DF74" i="1"/>
  <c r="DB74" i="1"/>
  <c r="DC74" i="1"/>
  <c r="DD74" i="1" s="1"/>
  <c r="CZ74" i="1"/>
  <c r="DF79" i="1"/>
  <c r="T79" i="1"/>
  <c r="DB79" i="1"/>
  <c r="DC79" i="1"/>
  <c r="DD79" i="1" s="1"/>
  <c r="CV74" i="1"/>
  <c r="CR74" i="1"/>
  <c r="CS74" i="1"/>
  <c r="CT74" i="1" s="1"/>
  <c r="T73" i="1"/>
  <c r="DF73" i="1"/>
  <c r="DB73" i="1"/>
  <c r="DC73" i="1"/>
  <c r="CU73" i="1"/>
  <c r="CU74" i="1"/>
  <c r="CV79" i="1"/>
  <c r="CR79" i="1"/>
  <c r="CS79" i="1"/>
  <c r="CT79" i="1" s="1"/>
  <c r="T76" i="1" l="1"/>
  <c r="DF76" i="1"/>
  <c r="DB76" i="1"/>
  <c r="DC76" i="1"/>
  <c r="DD76" i="1" s="1"/>
  <c r="CV75" i="1"/>
  <c r="CR75" i="1"/>
  <c r="CS75" i="1"/>
  <c r="CT75" i="1" s="1"/>
  <c r="CU75" i="1"/>
  <c r="DA77" i="1"/>
  <c r="CW77" i="1"/>
  <c r="CX77" i="1"/>
  <c r="CY77" i="1" s="1"/>
  <c r="CT73" i="1"/>
  <c r="CV76" i="1"/>
  <c r="CR76" i="1"/>
  <c r="CS76" i="1"/>
  <c r="CT76" i="1" s="1"/>
  <c r="CV78" i="1"/>
  <c r="CR78" i="1"/>
  <c r="CS78" i="1"/>
  <c r="CT78" i="1" s="1"/>
  <c r="CU78" i="1"/>
  <c r="DA75" i="1"/>
  <c r="CW75" i="1"/>
  <c r="CX75" i="1"/>
  <c r="CY75" i="1" s="1"/>
  <c r="CZ75" i="1"/>
  <c r="CZ77" i="1"/>
  <c r="CY73" i="1"/>
  <c r="DE76" i="1"/>
  <c r="CV77" i="1"/>
  <c r="CR77" i="1"/>
  <c r="CS77" i="1"/>
  <c r="CT77" i="1" s="1"/>
  <c r="DA78" i="1"/>
  <c r="CW78" i="1"/>
  <c r="CX78" i="1"/>
  <c r="CY78" i="1" s="1"/>
  <c r="T75" i="1"/>
  <c r="DF75" i="1"/>
  <c r="DB75" i="1"/>
  <c r="DC75" i="1"/>
  <c r="DD75" i="1" s="1"/>
  <c r="CU77" i="1"/>
  <c r="DD73" i="1"/>
  <c r="DA76" i="1"/>
  <c r="CW76" i="1"/>
  <c r="CX76" i="1"/>
  <c r="CY76" i="1" s="1"/>
  <c r="CU76" i="1"/>
  <c r="T78" i="1"/>
  <c r="DF78" i="1"/>
  <c r="DB78" i="1"/>
  <c r="DC78" i="1"/>
  <c r="DD78" i="1" s="1"/>
  <c r="DE78" i="1"/>
  <c r="DE75" i="1"/>
  <c r="T77" i="1"/>
  <c r="DF77" i="1"/>
  <c r="DB77" i="1"/>
  <c r="DC77" i="1"/>
  <c r="DD77" i="1" s="1"/>
  <c r="T85" i="1" l="1"/>
  <c r="T84" i="1"/>
  <c r="U85" i="1"/>
  <c r="N85" i="1" s="1"/>
  <c r="S86" i="1"/>
  <c r="U86" i="1"/>
  <c r="N86" i="1" s="1"/>
  <c r="U84" i="1"/>
  <c r="Q84" i="1" s="1"/>
  <c r="T86" i="1"/>
  <c r="U72" i="1" s="1"/>
  <c r="U73" i="1" s="1"/>
  <c r="U74" i="1" s="1"/>
  <c r="U75" i="1" s="1"/>
  <c r="U76" i="1" s="1"/>
  <c r="U77" i="1" s="1"/>
  <c r="U78" i="1" s="1"/>
  <c r="U79" i="1" s="1"/>
  <c r="DE69" i="1"/>
  <c r="S85" i="1"/>
  <c r="S84" i="1"/>
  <c r="R86" i="1"/>
  <c r="R85" i="1"/>
  <c r="R84" i="1"/>
  <c r="P86" i="1" l="1"/>
  <c r="N84" i="1"/>
  <c r="P85" i="1"/>
  <c r="Q85" i="1"/>
  <c r="P84" i="1"/>
  <c r="Q86" i="1"/>
  <c r="O84" i="1"/>
  <c r="O86" i="1"/>
  <c r="O85" i="1"/>
</calcChain>
</file>

<file path=xl/sharedStrings.xml><?xml version="1.0" encoding="utf-8"?>
<sst xmlns="http://schemas.openxmlformats.org/spreadsheetml/2006/main" count="680" uniqueCount="495">
  <si>
    <t xml:space="preserve">         META/LOG CONSTANTS</t>
  </si>
  <si>
    <t xml:space="preserve">                            META/LOG KNOWLEDGE BASE</t>
  </si>
  <si>
    <t xml:space="preserve">        META/LOG "ESP" HELP FILE</t>
  </si>
  <si>
    <t>Meta/Log "ESP" Report</t>
  </si>
  <si>
    <t xml:space="preserve">          A Knowledge Based System For Formation Evaluation     </t>
  </si>
  <si>
    <t>Log Analysis Data and Results</t>
  </si>
  <si>
    <t>METRIC CONVR</t>
  </si>
  <si>
    <t>VSHMAX</t>
  </si>
  <si>
    <t>PHIMIN</t>
  </si>
  <si>
    <t>SWMAX</t>
  </si>
  <si>
    <t>PRMmin</t>
  </si>
  <si>
    <t xml:space="preserve">   MINERAL</t>
  </si>
  <si>
    <t>LITH1</t>
  </si>
  <si>
    <t xml:space="preserve">   PE</t>
  </si>
  <si>
    <t xml:space="preserve">  PHIN</t>
  </si>
  <si>
    <t xml:space="preserve">  DENS</t>
  </si>
  <si>
    <t xml:space="preserve"> MLITH</t>
  </si>
  <si>
    <t xml:space="preserve"> NLITH</t>
  </si>
  <si>
    <t xml:space="preserve">   UMA</t>
  </si>
  <si>
    <t xml:space="preserve"> Enter data into highlighted cells in HEADER, PARAMETERS, and RAW DATA.</t>
  </si>
  <si>
    <t>Used</t>
  </si>
  <si>
    <t>English</t>
  </si>
  <si>
    <t xml:space="preserve"> Metric</t>
  </si>
  <si>
    <t>frac</t>
  </si>
  <si>
    <t>md</t>
  </si>
  <si>
    <t>Main</t>
  </si>
  <si>
    <t>Quartz</t>
  </si>
  <si>
    <t>QRTZ</t>
  </si>
  <si>
    <t xml:space="preserve"> Press Calculate (F9 in Lotus) FOUR times. Check ANSWERS. Revise PARA-</t>
  </si>
  <si>
    <t/>
  </si>
  <si>
    <t>Calcite</t>
  </si>
  <si>
    <t>LIME</t>
  </si>
  <si>
    <t xml:space="preserve"> METERS as needed and re-calc FOUR times.</t>
  </si>
  <si>
    <t>E. R. Crain, P.Eng.</t>
  </si>
  <si>
    <t>Dolomite</t>
  </si>
  <si>
    <t>DOLO</t>
  </si>
  <si>
    <t>Anhydrite</t>
  </si>
  <si>
    <t>ANHY</t>
  </si>
  <si>
    <t xml:space="preserve"> This master spreadsheet has TWO data sets for two wells or two zones.</t>
  </si>
  <si>
    <t>Gypsum</t>
  </si>
  <si>
    <t>GYPS</t>
  </si>
  <si>
    <t xml:space="preserve"> Copy last data set to create space for more wells or zones.  DO NOT  </t>
  </si>
  <si>
    <t xml:space="preserve">  to</t>
  </si>
  <si>
    <t>Depthcut</t>
  </si>
  <si>
    <t>Mica</t>
  </si>
  <si>
    <t>Muscovite</t>
  </si>
  <si>
    <t>MUSC</t>
  </si>
  <si>
    <t xml:space="preserve"> leave blank lines between data sets.                                 </t>
  </si>
  <si>
    <t>Start line#</t>
  </si>
  <si>
    <t>Biotite</t>
  </si>
  <si>
    <t>BIOT</t>
  </si>
  <si>
    <t xml:space="preserve"> Erase data lines you do not need. DO NOT delete lines.</t>
  </si>
  <si>
    <t>UNITS</t>
  </si>
  <si>
    <t>M</t>
  </si>
  <si>
    <t xml:space="preserve"> (MorE)</t>
  </si>
  <si>
    <t>Clay</t>
  </si>
  <si>
    <t>Kaolinite</t>
  </si>
  <si>
    <t>KAOL</t>
  </si>
  <si>
    <t xml:space="preserve"> Insert extra lines BELOW top line and ABOVE bottom line of a data set</t>
  </si>
  <si>
    <t>Glauconite</t>
  </si>
  <si>
    <t>GLAC</t>
  </si>
  <si>
    <t xml:space="preserve"> CAUTION: You MUST copy cell BY67 down over every line to the bottom  </t>
  </si>
  <si>
    <t>DON'T MESS WITH THESE NUMBERS</t>
  </si>
  <si>
    <t>Illite</t>
  </si>
  <si>
    <t>ILL</t>
  </si>
  <si>
    <t xml:space="preserve"> of the last data set. Also be sure that all formulas are copied when </t>
  </si>
  <si>
    <t>Chlorite</t>
  </si>
  <si>
    <t>CHLR</t>
  </si>
  <si>
    <t xml:space="preserve"> you insert lines or add data sets.                                   *</t>
  </si>
  <si>
    <t xml:space="preserve">RESD </t>
  </si>
  <si>
    <t xml:space="preserve">PHIN </t>
  </si>
  <si>
    <t xml:space="preserve">DENS </t>
  </si>
  <si>
    <t xml:space="preserve">GR </t>
  </si>
  <si>
    <t xml:space="preserve">SP </t>
  </si>
  <si>
    <t xml:space="preserve">UMA </t>
  </si>
  <si>
    <t>Montmorillonite</t>
  </si>
  <si>
    <t>MONT</t>
  </si>
  <si>
    <t>ohm-m</t>
  </si>
  <si>
    <t>api</t>
  </si>
  <si>
    <t>mv</t>
  </si>
  <si>
    <t>cu</t>
  </si>
  <si>
    <t>Barite</t>
  </si>
  <si>
    <t>BARI</t>
  </si>
  <si>
    <t xml:space="preserve"> Use spreadsheet commands or write macros to print data, make cross</t>
  </si>
  <si>
    <t>NaFeld</t>
  </si>
  <si>
    <t>Albite</t>
  </si>
  <si>
    <t>ALBT</t>
  </si>
  <si>
    <t xml:space="preserve"> plots, regressions, or save files. Modify equations at your own risk.</t>
  </si>
  <si>
    <t xml:space="preserve">MATRIX </t>
  </si>
  <si>
    <t xml:space="preserve">RMAX </t>
  </si>
  <si>
    <t xml:space="preserve">PHINMA </t>
  </si>
  <si>
    <t xml:space="preserve">DENSMA </t>
  </si>
  <si>
    <t xml:space="preserve">GR0 </t>
  </si>
  <si>
    <t xml:space="preserve">SP0 </t>
  </si>
  <si>
    <t>Anorthite</t>
  </si>
  <si>
    <t>ANOR</t>
  </si>
  <si>
    <t xml:space="preserve">Zoned  </t>
  </si>
  <si>
    <t>K-Feld</t>
  </si>
  <si>
    <t>Orthoclase</t>
  </si>
  <si>
    <t>ORTH</t>
  </si>
  <si>
    <t>Iron</t>
  </si>
  <si>
    <t>Siderite</t>
  </si>
  <si>
    <t>SIDR</t>
  </si>
  <si>
    <t xml:space="preserve">SHALE </t>
  </si>
  <si>
    <t xml:space="preserve">RSH </t>
  </si>
  <si>
    <t xml:space="preserve">PHINSH </t>
  </si>
  <si>
    <t xml:space="preserve">DENSSH </t>
  </si>
  <si>
    <t xml:space="preserve">GR100 </t>
  </si>
  <si>
    <t xml:space="preserve">SP100 </t>
  </si>
  <si>
    <t xml:space="preserve">USH </t>
  </si>
  <si>
    <t>feet</t>
  </si>
  <si>
    <t>Ankerite</t>
  </si>
  <si>
    <t>ANKR</t>
  </si>
  <si>
    <t xml:space="preserve">             META/LOG GENERAL TERMS AND CONDITIONS                   </t>
  </si>
  <si>
    <t>us/ft</t>
  </si>
  <si>
    <t>Pyrite</t>
  </si>
  <si>
    <t>PYRT</t>
  </si>
  <si>
    <t>PHIDSH-&gt;</t>
  </si>
  <si>
    <t>psi</t>
  </si>
  <si>
    <t>Evaps</t>
  </si>
  <si>
    <t>Fluorite</t>
  </si>
  <si>
    <t>FLRT</t>
  </si>
  <si>
    <t xml:space="preserve"> Interpretations of logs, whether made directly from original logs </t>
  </si>
  <si>
    <t xml:space="preserve">WATER </t>
  </si>
  <si>
    <t xml:space="preserve">RW </t>
  </si>
  <si>
    <t xml:space="preserve">PHINW </t>
  </si>
  <si>
    <t xml:space="preserve">DENSW </t>
  </si>
  <si>
    <t xml:space="preserve">UW </t>
  </si>
  <si>
    <t>Mcf/d</t>
  </si>
  <si>
    <t>meters</t>
  </si>
  <si>
    <t>Halite</t>
  </si>
  <si>
    <t>SALT</t>
  </si>
  <si>
    <t xml:space="preserve"> or by electronic data processing from actual or digitized data, or </t>
  </si>
  <si>
    <t>gm/cc</t>
  </si>
  <si>
    <t>us/m</t>
  </si>
  <si>
    <t>Sylvite</t>
  </si>
  <si>
    <t>SYLV</t>
  </si>
  <si>
    <t xml:space="preserve"> from electrically transmitted data or otherwise, or any recommend- </t>
  </si>
  <si>
    <t xml:space="preserve">  Use RW calculator in cell K46, or type value</t>
  </si>
  <si>
    <t>inches</t>
  </si>
  <si>
    <t>KPa</t>
  </si>
  <si>
    <t>Carnalite</t>
  </si>
  <si>
    <t>CARN</t>
  </si>
  <si>
    <t xml:space="preserve"> ation based upon such interpretations, are opinions based on infer-</t>
  </si>
  <si>
    <t xml:space="preserve">OIL/GAS </t>
  </si>
  <si>
    <t xml:space="preserve">RMF   </t>
  </si>
  <si>
    <t xml:space="preserve">PHINHY </t>
  </si>
  <si>
    <t xml:space="preserve">DENSHY </t>
  </si>
  <si>
    <t xml:space="preserve">   UHY </t>
  </si>
  <si>
    <t>'F</t>
  </si>
  <si>
    <t>bbl/d</t>
  </si>
  <si>
    <t>m3/d</t>
  </si>
  <si>
    <t>Coal</t>
  </si>
  <si>
    <t>Anthracite</t>
  </si>
  <si>
    <t>ANTH</t>
  </si>
  <si>
    <t xml:space="preserve"> ences from physical or other measurements, empirical factors, and  </t>
  </si>
  <si>
    <t>Kg/m3</t>
  </si>
  <si>
    <t>Lignite</t>
  </si>
  <si>
    <t>LIGN</t>
  </si>
  <si>
    <t xml:space="preserve"> assumptions. Such inferences are not infallible and different    </t>
  </si>
  <si>
    <t>md-ft</t>
  </si>
  <si>
    <t>mm</t>
  </si>
  <si>
    <t xml:space="preserve"> opinions may exist. Acordingly we do not warrant the accuracy or  </t>
  </si>
  <si>
    <t xml:space="preserve">LITH1 </t>
  </si>
  <si>
    <t xml:space="preserve"> PE1 </t>
  </si>
  <si>
    <t xml:space="preserve">PHIN1 </t>
  </si>
  <si>
    <t xml:space="preserve">DENS1 </t>
  </si>
  <si>
    <t xml:space="preserve">MLITH1 </t>
  </si>
  <si>
    <t xml:space="preserve">NLITH1 </t>
  </si>
  <si>
    <t xml:space="preserve">UMA1  </t>
  </si>
  <si>
    <t>** NOTE: Use</t>
  </si>
  <si>
    <t>mcf</t>
  </si>
  <si>
    <t>'C</t>
  </si>
  <si>
    <t xml:space="preserve"> correctness of any such interpretation or recommendation. Under no </t>
  </si>
  <si>
    <t>Copy command</t>
  </si>
  <si>
    <t>$/mcf</t>
  </si>
  <si>
    <t>Metric</t>
  </si>
  <si>
    <t xml:space="preserve"> circumstances  should any such interpretation or recommendation be </t>
  </si>
  <si>
    <t xml:space="preserve">to get values </t>
  </si>
  <si>
    <t>bbl/psi</t>
  </si>
  <si>
    <t>md-m</t>
  </si>
  <si>
    <t xml:space="preserve"> relied upon as the sole basis for any production. completion, or   </t>
  </si>
  <si>
    <t xml:space="preserve">LITH2 </t>
  </si>
  <si>
    <t xml:space="preserve">PE2 </t>
  </si>
  <si>
    <t xml:space="preserve">PHIN2 </t>
  </si>
  <si>
    <t xml:space="preserve">DENS2 </t>
  </si>
  <si>
    <t xml:space="preserve">MLITH2 </t>
  </si>
  <si>
    <t xml:space="preserve">NLITH2 </t>
  </si>
  <si>
    <t xml:space="preserve">UMA2  </t>
  </si>
  <si>
    <t>for LITH1-&gt;3</t>
  </si>
  <si>
    <t>MMcf</t>
  </si>
  <si>
    <t>bbl</t>
  </si>
  <si>
    <t>m3</t>
  </si>
  <si>
    <t xml:space="preserve"> financial decision. We do not guarantee results. We make no warran-</t>
  </si>
  <si>
    <t>From KNOWLEDGE</t>
  </si>
  <si>
    <t xml:space="preserve"> Mcf/d</t>
  </si>
  <si>
    <t>$/bbl</t>
  </si>
  <si>
    <t>$/m3</t>
  </si>
  <si>
    <t xml:space="preserve"> ties, express or implied. Under no circumstances shall we be liable</t>
  </si>
  <si>
    <t>BASE area.</t>
  </si>
  <si>
    <t>cu.ft.</t>
  </si>
  <si>
    <t>m3/KPa</t>
  </si>
  <si>
    <t xml:space="preserve"> for consequential damages.                                         </t>
  </si>
  <si>
    <t xml:space="preserve">LITH3 </t>
  </si>
  <si>
    <t xml:space="preserve">PE3 </t>
  </si>
  <si>
    <t xml:space="preserve">PHIN3 </t>
  </si>
  <si>
    <t xml:space="preserve">DENS3 </t>
  </si>
  <si>
    <t xml:space="preserve">MLITH3 </t>
  </si>
  <si>
    <t xml:space="preserve">NLITH3 </t>
  </si>
  <si>
    <t xml:space="preserve">UMA3 </t>
  </si>
  <si>
    <t xml:space="preserve">  Gas</t>
  </si>
  <si>
    <t>1000bbl</t>
  </si>
  <si>
    <t xml:space="preserve">                                                                     *</t>
  </si>
  <si>
    <t>10^6m3</t>
  </si>
  <si>
    <t xml:space="preserve"> bbl/d</t>
  </si>
  <si>
    <t xml:space="preserve"> This software is protected by copyright, and may not be reproduced </t>
  </si>
  <si>
    <t xml:space="preserve"> or copied in any form, or used on a computer for which it was not  </t>
  </si>
  <si>
    <t>XXXX--&gt;   LOGUNITS</t>
  </si>
  <si>
    <t xml:space="preserve"> Ss=2650, Ls=2710 (2.65 or 2.71 USA Units)</t>
  </si>
  <si>
    <t xml:space="preserve">  Oil</t>
  </si>
  <si>
    <t xml:space="preserve"> acquired directly from the supplier, without payment of a fee and  </t>
  </si>
  <si>
    <t>10^3m3</t>
  </si>
  <si>
    <t xml:space="preserve"> permission obtained in writing from the supplier.                  </t>
  </si>
  <si>
    <t>SUFT</t>
  </si>
  <si>
    <t>A</t>
  </si>
  <si>
    <t>ROS in GAS</t>
  </si>
  <si>
    <t>KN</t>
  </si>
  <si>
    <t xml:space="preserve"> SPECTRUM 2000 MINDWARE LTD          C. 1984-2001        403-845-2527</t>
  </si>
  <si>
    <t xml:space="preserve">                              WATER RESISTIVITY CALCULATOR</t>
  </si>
  <si>
    <t>BHT</t>
  </si>
  <si>
    <t>CP</t>
  </si>
  <si>
    <t>KD</t>
  </si>
  <si>
    <t xml:space="preserve">                Choose ALL desired methods, fill HIGHLIGHTED cells</t>
  </si>
  <si>
    <t>SALINITY (1)</t>
  </si>
  <si>
    <t>WATER ZONE (3)</t>
  </si>
  <si>
    <t xml:space="preserve">   Inputs needed for</t>
  </si>
  <si>
    <t>SSP      (2)</t>
  </si>
  <si>
    <t>CATALOG    (4)</t>
  </si>
  <si>
    <t>BHTDEPTH</t>
  </si>
  <si>
    <t>N</t>
  </si>
  <si>
    <t>CPERM</t>
  </si>
  <si>
    <t>KS</t>
  </si>
  <si>
    <t xml:space="preserve">      method #---v</t>
  </si>
  <si>
    <t>MINIMUM    (5)</t>
  </si>
  <si>
    <t xml:space="preserve">   1,      5</t>
  </si>
  <si>
    <t>Water salinity (NaCl).............?</t>
  </si>
  <si>
    <t>Kppm</t>
  </si>
  <si>
    <t xml:space="preserve">     2,3,  5</t>
  </si>
  <si>
    <t>Water zone or SSP depth...........?</t>
  </si>
  <si>
    <t>TRW</t>
  </si>
  <si>
    <t>KBUCKL</t>
  </si>
  <si>
    <t>PHIMAX</t>
  </si>
  <si>
    <t>GAS ON/OFF</t>
  </si>
  <si>
    <t xml:space="preserve">       3,  5</t>
  </si>
  <si>
    <t>Water zone porosity...............?</t>
  </si>
  <si>
    <t>Water zone resistivity (Ro).......?</t>
  </si>
  <si>
    <t xml:space="preserve">                 0=Oil,1=Gas</t>
  </si>
  <si>
    <t xml:space="preserve">     2,    5</t>
  </si>
  <si>
    <t>Water zone SSP....................?</t>
  </si>
  <si>
    <t xml:space="preserve">      CUTOFFS</t>
  </si>
  <si>
    <t>PERMIN</t>
  </si>
  <si>
    <t>Mud filtrate resistivity (RMF@FT).?</t>
  </si>
  <si>
    <t>Set 1</t>
  </si>
  <si>
    <t xml:space="preserve">         4,5</t>
  </si>
  <si>
    <t>Known water resistivity (RW@TRW)..?</t>
  </si>
  <si>
    <t>Set 2</t>
  </si>
  <si>
    <t>Temperature of RW (TRW)...........?</t>
  </si>
  <si>
    <t>Set 3</t>
  </si>
  <si>
    <t xml:space="preserve">   1,2,3,4,5</t>
  </si>
  <si>
    <t>Surface temperature (SUFT)........?</t>
  </si>
  <si>
    <t>Bottom hole temperature (BHT).....?</t>
  </si>
  <si>
    <t>OPTIONS: SHALE</t>
  </si>
  <si>
    <t xml:space="preserve">           POROSITY</t>
  </si>
  <si>
    <t xml:space="preserve">        SATURATION</t>
  </si>
  <si>
    <t xml:space="preserve">     PERMEABILITY</t>
  </si>
  <si>
    <t xml:space="preserve">        LITHOLOGY</t>
  </si>
  <si>
    <t>Bottom hole depth (BHTDEP)........?</t>
  </si>
  <si>
    <t>NONE</t>
  </si>
  <si>
    <t>SONIC</t>
  </si>
  <si>
    <t>ARCHIE</t>
  </si>
  <si>
    <t>WYLLIE</t>
  </si>
  <si>
    <t>Pay zone depth....................?</t>
  </si>
  <si>
    <t>GR</t>
  </si>
  <si>
    <t>DENSITY</t>
  </si>
  <si>
    <t>SIMANDOUX</t>
  </si>
  <si>
    <t>TIMUR</t>
  </si>
  <si>
    <t>DNS/2MIN</t>
  </si>
  <si>
    <t>ANSWERS</t>
  </si>
  <si>
    <t>CLAVIER</t>
  </si>
  <si>
    <t>NEUTRON</t>
  </si>
  <si>
    <t>DUALWATER</t>
  </si>
  <si>
    <t>COATES</t>
  </si>
  <si>
    <t>UMA/2MIN</t>
  </si>
  <si>
    <t>RWsal =</t>
  </si>
  <si>
    <t>RWssp =</t>
  </si>
  <si>
    <t>RWwtr =</t>
  </si>
  <si>
    <t>RWcat =</t>
  </si>
  <si>
    <t>SP</t>
  </si>
  <si>
    <t>SH.SAND</t>
  </si>
  <si>
    <t>BUCKLES</t>
  </si>
  <si>
    <t>POROSITY</t>
  </si>
  <si>
    <t>S-D/2MIN</t>
  </si>
  <si>
    <t>XPLOT</t>
  </si>
  <si>
    <t>N-D/2MIN</t>
  </si>
  <si>
    <t>FINAL RESULT:</t>
  </si>
  <si>
    <t>RW@FT to be used</t>
  </si>
  <si>
    <t>MINIMUM</t>
  </si>
  <si>
    <t>COMPLEX LITHOLOGY</t>
  </si>
  <si>
    <t xml:space="preserve"> Slope=</t>
  </si>
  <si>
    <t>M-N/3MIN</t>
  </si>
  <si>
    <t>Calculated FT:</t>
  </si>
  <si>
    <t>PE/DENSITY/NEUTRON</t>
  </si>
  <si>
    <t xml:space="preserve"> Const=</t>
  </si>
  <si>
    <t>D-PE/3MIN</t>
  </si>
  <si>
    <t>These values are automatically placed into PARAMETERS array,</t>
  </si>
  <si>
    <t>______________________</t>
  </si>
  <si>
    <t>______________</t>
  </si>
  <si>
    <t>unless you have overwritten the RW and TRW cells with values.</t>
  </si>
  <si>
    <t>META/LOG "ESP" RAW DATA</t>
  </si>
  <si>
    <t>META/LOG "ESP" FINAL RESULTS</t>
  </si>
  <si>
    <t xml:space="preserve">    ----------- ZRECALC2 ----------------</t>
  </si>
  <si>
    <t>SHALE</t>
  </si>
  <si>
    <t>PHIDSH</t>
  </si>
  <si>
    <t>PHINSH</t>
  </si>
  <si>
    <t>PHIDDC</t>
  </si>
  <si>
    <t>PHINDC</t>
  </si>
  <si>
    <t>BVWSH</t>
  </si>
  <si>
    <t>PHIDSH(xcm)</t>
  </si>
  <si>
    <t>SATURATION</t>
  </si>
  <si>
    <t xml:space="preserve">  RWSH</t>
  </si>
  <si>
    <t>PERMEABILITY</t>
  </si>
  <si>
    <t>LITHOLOGY</t>
  </si>
  <si>
    <t>CUTOFF SUMS</t>
  </si>
  <si>
    <t>*</t>
  </si>
  <si>
    <t>11-36-72-8W6</t>
  </si>
  <si>
    <t xml:space="preserve">    ZX</t>
  </si>
  <si>
    <t xml:space="preserve">    ZA</t>
  </si>
  <si>
    <t xml:space="preserve">    ZB</t>
  </si>
  <si>
    <t xml:space="preserve">    ZC</t>
  </si>
  <si>
    <t xml:space="preserve">    ZD</t>
  </si>
  <si>
    <t xml:space="preserve">    ZE</t>
  </si>
  <si>
    <t xml:space="preserve">    ZF</t>
  </si>
  <si>
    <t>SUM kh</t>
  </si>
  <si>
    <t xml:space="preserve"> DEPTH</t>
  </si>
  <si>
    <t xml:space="preserve">BOTTOM </t>
  </si>
  <si>
    <t xml:space="preserve">PHID </t>
  </si>
  <si>
    <t xml:space="preserve">PE </t>
  </si>
  <si>
    <t xml:space="preserve">KB_ELV  </t>
  </si>
  <si>
    <t xml:space="preserve">Incr </t>
  </si>
  <si>
    <t xml:space="preserve">Vsh  </t>
  </si>
  <si>
    <t xml:space="preserve">PHIe  </t>
  </si>
  <si>
    <t xml:space="preserve">Perm  </t>
  </si>
  <si>
    <t xml:space="preserve">Rwa  </t>
  </si>
  <si>
    <t xml:space="preserve">Phi*Sw  </t>
  </si>
  <si>
    <t xml:space="preserve">Pay  </t>
  </si>
  <si>
    <t xml:space="preserve">Cum'l  </t>
  </si>
  <si>
    <t xml:space="preserve">DENSma </t>
  </si>
  <si>
    <t xml:space="preserve">Subsea  </t>
  </si>
  <si>
    <t xml:space="preserve"> RW@FT</t>
  </si>
  <si>
    <t>USER1</t>
  </si>
  <si>
    <t>USER2</t>
  </si>
  <si>
    <t>USER3</t>
  </si>
  <si>
    <t>USER4</t>
  </si>
  <si>
    <t>USER5</t>
  </si>
  <si>
    <t>USER6</t>
  </si>
  <si>
    <t>USER7</t>
  </si>
  <si>
    <t>Tf</t>
  </si>
  <si>
    <t>Vshg</t>
  </si>
  <si>
    <t>Clav</t>
  </si>
  <si>
    <t>Vshs</t>
  </si>
  <si>
    <t>Vshx</t>
  </si>
  <si>
    <t>VSHmin</t>
  </si>
  <si>
    <t xml:space="preserve">  Dens</t>
  </si>
  <si>
    <t>PHIDm</t>
  </si>
  <si>
    <t>PHINm</t>
  </si>
  <si>
    <t>PHIsc</t>
  </si>
  <si>
    <t>PHIdc</t>
  </si>
  <si>
    <t>PHInc</t>
  </si>
  <si>
    <t>PHIxss</t>
  </si>
  <si>
    <t>PHIt</t>
  </si>
  <si>
    <t>PHIbvw</t>
  </si>
  <si>
    <t>PHIxnd</t>
  </si>
  <si>
    <t>DENSMA</t>
  </si>
  <si>
    <t>DENSma</t>
  </si>
  <si>
    <t>PHIped</t>
  </si>
  <si>
    <t>PHImax</t>
  </si>
  <si>
    <t xml:space="preserve">  PHIe</t>
  </si>
  <si>
    <t>SWa</t>
  </si>
  <si>
    <t>SWs</t>
  </si>
  <si>
    <t>SWb</t>
  </si>
  <si>
    <t>Swt</t>
  </si>
  <si>
    <t>SWd</t>
  </si>
  <si>
    <t xml:space="preserve">  SWp</t>
  </si>
  <si>
    <t>SWir</t>
  </si>
  <si>
    <t>Spare</t>
  </si>
  <si>
    <t>Permw</t>
  </si>
  <si>
    <t>Permt</t>
  </si>
  <si>
    <t xml:space="preserve"> Permc</t>
  </si>
  <si>
    <t xml:space="preserve"> Permp</t>
  </si>
  <si>
    <t xml:space="preserve"> VROCKd</t>
  </si>
  <si>
    <t xml:space="preserve"> VROCKpe</t>
  </si>
  <si>
    <t>MLITH</t>
  </si>
  <si>
    <t>NLITH</t>
  </si>
  <si>
    <t>VROCKm</t>
  </si>
  <si>
    <t>VROCKn</t>
  </si>
  <si>
    <t>VROCKmn</t>
  </si>
  <si>
    <t>VROCKdu</t>
  </si>
  <si>
    <t xml:space="preserve">    Cutoff Flags</t>
  </si>
  <si>
    <t>Vsh-h</t>
  </si>
  <si>
    <t>Phi-h</t>
  </si>
  <si>
    <t>Hyd-h</t>
  </si>
  <si>
    <t>Perm-h</t>
  </si>
  <si>
    <t>Net-h</t>
  </si>
  <si>
    <t xml:space="preserve"> SW vs CORP</t>
  </si>
  <si>
    <t>KMAX vs CORP</t>
  </si>
  <si>
    <t>Neutron vs Density</t>
  </si>
  <si>
    <t>Resistivity vs Porosity</t>
  </si>
  <si>
    <t xml:space="preserve">ohm-m </t>
  </si>
  <si>
    <t xml:space="preserve">frac </t>
  </si>
  <si>
    <t xml:space="preserve">api </t>
  </si>
  <si>
    <t xml:space="preserve">mv </t>
  </si>
  <si>
    <t xml:space="preserve">cu </t>
  </si>
  <si>
    <t xml:space="preserve">frac  </t>
  </si>
  <si>
    <t xml:space="preserve">md  </t>
  </si>
  <si>
    <t xml:space="preserve">ohm-m  </t>
  </si>
  <si>
    <t xml:space="preserve">Flag  </t>
  </si>
  <si>
    <t xml:space="preserve">KH   </t>
  </si>
  <si>
    <t xml:space="preserve">  ---------------- Lithology Adjusted ---------------</t>
  </si>
  <si>
    <t xml:space="preserve"> - LS Units -</t>
  </si>
  <si>
    <t>no gas</t>
  </si>
  <si>
    <t>for gas</t>
  </si>
  <si>
    <t>final</t>
  </si>
  <si>
    <t>for ped</t>
  </si>
  <si>
    <t>Selected</t>
  </si>
  <si>
    <t xml:space="preserve">   "C"</t>
  </si>
  <si>
    <t xml:space="preserve">   "D"</t>
  </si>
  <si>
    <t>Ro</t>
  </si>
  <si>
    <t xml:space="preserve"> </t>
  </si>
  <si>
    <t>V1</t>
  </si>
  <si>
    <t>Term1</t>
  </si>
  <si>
    <t>Term2</t>
  </si>
  <si>
    <t>V2</t>
  </si>
  <si>
    <t xml:space="preserve">  Set 1</t>
  </si>
  <si>
    <t xml:space="preserve">  Set 2</t>
  </si>
  <si>
    <t xml:space="preserve">  Set 3</t>
  </si>
  <si>
    <t>Tar-h</t>
  </si>
  <si>
    <t xml:space="preserve">  One Log  Shaly Sand</t>
  </si>
  <si>
    <t xml:space="preserve">  Dual Water</t>
  </si>
  <si>
    <t xml:space="preserve">      Complex Lithology</t>
  </si>
  <si>
    <t xml:space="preserve"> PE-Dens-Neut</t>
  </si>
  <si>
    <t xml:space="preserve"> Archie</t>
  </si>
  <si>
    <t xml:space="preserve">      Simandoux</t>
  </si>
  <si>
    <t xml:space="preserve">   ---   Dual Water   ---</t>
  </si>
  <si>
    <t>Buckles</t>
  </si>
  <si>
    <t>Water Saturation - fractional</t>
  </si>
  <si>
    <t>Porosity - fractional</t>
  </si>
  <si>
    <t>Permeability - millidarcies</t>
  </si>
  <si>
    <t>Neutron Porosity - fractional</t>
  </si>
  <si>
    <t>Density Porosity - fractional</t>
  </si>
  <si>
    <t>Deep Resistivity -ohm-m</t>
  </si>
  <si>
    <t>Effective Porosity - fractional</t>
  </si>
  <si>
    <t>META/LOG "ESP" SUMMARY DATA</t>
  </si>
  <si>
    <t xml:space="preserve"> COMMENTS:</t>
  </si>
  <si>
    <t xml:space="preserve">    ------ Averages ------</t>
  </si>
  <si>
    <t xml:space="preserve">   ------ Volumes ------</t>
  </si>
  <si>
    <t xml:space="preserve">   ------ Cutoffs ------</t>
  </si>
  <si>
    <t xml:space="preserve">PHIe </t>
  </si>
  <si>
    <t xml:space="preserve">Phi-H  </t>
  </si>
  <si>
    <t xml:space="preserve">K-H  </t>
  </si>
  <si>
    <t xml:space="preserve">Net  </t>
  </si>
  <si>
    <t xml:space="preserve">Sw  </t>
  </si>
  <si>
    <t>Click on graph to edit scales, titles, or data ranges</t>
  </si>
  <si>
    <t>&lt;---SERIAL NUMBER MUST MATCH ROW NUMBER FROM TOP TO BOTTOM OF ACTIVE ANALYSIS AREA</t>
  </si>
  <si>
    <t xml:space="preserve">  DTC</t>
  </si>
  <si>
    <t xml:space="preserve">DTC </t>
  </si>
  <si>
    <t xml:space="preserve">DTCMA </t>
  </si>
  <si>
    <t xml:space="preserve">DTCSH </t>
  </si>
  <si>
    <t xml:space="preserve">DTCW </t>
  </si>
  <si>
    <t xml:space="preserve">DTCHY </t>
  </si>
  <si>
    <t xml:space="preserve">DTC1 </t>
  </si>
  <si>
    <t xml:space="preserve">DTC2 </t>
  </si>
  <si>
    <t xml:space="preserve">DTC3 </t>
  </si>
  <si>
    <t xml:space="preserve">   ANALYSIS PARAMETERS</t>
  </si>
  <si>
    <t>c. E.R. Crain, P.Eng. 2018</t>
  </si>
  <si>
    <t>Well Name</t>
  </si>
  <si>
    <t>PCP Beaverlodge 11-36</t>
  </si>
  <si>
    <t xml:space="preserve">Analyst  </t>
  </si>
  <si>
    <t>Field / Zone</t>
  </si>
  <si>
    <t>Beaverlodge / Halfway</t>
  </si>
  <si>
    <t xml:space="preserve">Date  </t>
  </si>
  <si>
    <t xml:space="preserve"> 2018-09-27</t>
  </si>
  <si>
    <t>Read Terms of Use</t>
  </si>
  <si>
    <t xml:space="preserve">                     META/LOG "ESP"</t>
  </si>
  <si>
    <t xml:space="preserve">             OIL / GAS LOG ANALYSIS + SUMS AND AVERAGES</t>
  </si>
  <si>
    <t>MORE===&gt;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</si>
</sst>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"/>
    <numFmt numFmtId="166" formatCode=";;;"/>
    <numFmt numFmtId="167" formatCode="0.0000"/>
  </numFmts>
  <fonts count="16">
    <font>
      <sz val="12"/>
      <name val="Arial"/>
    </font>
    <font>
      <b/>
      <sz val="24"/>
      <color indexed="13"/>
      <name val="Times New Roman"/>
    </font>
    <font>
      <b/>
      <sz val="12"/>
      <color indexed="8"/>
      <name val="COUR"/>
    </font>
    <font>
      <b/>
      <sz val="24"/>
      <color indexed="10"/>
      <name val="Times New Roman"/>
    </font>
    <font>
      <b/>
      <sz val="24"/>
      <color indexed="8"/>
      <name val="Times New Roman"/>
    </font>
    <font>
      <b/>
      <sz val="10"/>
      <color indexed="8"/>
      <name val="Arial"/>
    </font>
    <font>
      <sz val="10"/>
      <name val="COUR"/>
    </font>
    <font>
      <b/>
      <sz val="14"/>
      <color indexed="13"/>
      <name val="COUR"/>
    </font>
    <font>
      <b/>
      <sz val="10"/>
      <color indexed="13"/>
      <name val="Arial"/>
    </font>
    <font>
      <b/>
      <sz val="10"/>
      <color indexed="8"/>
      <name val="COUR"/>
    </font>
    <font>
      <b/>
      <sz val="10"/>
      <color indexed="10"/>
      <name val="Arial"/>
    </font>
    <font>
      <b/>
      <sz val="10"/>
      <name val="COUR"/>
    </font>
    <font>
      <b/>
      <sz val="10"/>
      <color indexed="9"/>
      <name val="COUR"/>
    </font>
    <font>
      <b/>
      <sz val="10"/>
      <color indexed="8"/>
      <name val="Arial"/>
      <family val="2"/>
    </font>
    <font>
      <u/>
      <sz val="10"/>
      <color theme="10"/>
      <name val="Arial"/>
    </font>
    <font>
      <b/>
      <sz val="24"/>
      <color indexed="13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lightTrellis">
        <fgColor indexed="12"/>
        <bgColor indexed="9"/>
      </patternFill>
    </fill>
    <fill>
      <patternFill patternType="gray0625">
        <fgColor indexed="10"/>
        <bgColor indexed="9"/>
      </patternFill>
    </fill>
    <fill>
      <patternFill patternType="gray125">
        <fgColor indexed="12"/>
        <bgColor indexed="13"/>
      </patternFill>
    </fill>
    <fill>
      <patternFill patternType="lightGray">
        <bgColor indexed="15"/>
      </patternFill>
    </fill>
  </fills>
  <borders count="24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 style="medium">
        <color indexed="10"/>
      </left>
      <right/>
      <top/>
      <bottom/>
      <diagonal/>
    </border>
    <border>
      <left style="medium">
        <color indexed="8"/>
      </left>
      <right/>
      <top style="medium">
        <color indexed="10"/>
      </top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 style="thick">
        <color auto="1"/>
      </left>
      <right/>
      <top/>
      <bottom/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8"/>
      </left>
      <right/>
      <top style="thick">
        <color indexed="8"/>
      </top>
      <bottom style="thick">
        <color auto="1"/>
      </bottom>
      <diagonal/>
    </border>
    <border>
      <left/>
      <right/>
      <top style="thick">
        <color indexed="8"/>
      </top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thick">
        <color indexed="8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medium">
        <color indexed="8"/>
      </top>
      <bottom/>
      <diagonal/>
    </border>
    <border>
      <left style="thick">
        <color auto="1"/>
      </left>
      <right/>
      <top/>
      <bottom style="medium">
        <color indexed="8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86">
    <xf numFmtId="0" fontId="0" fillId="0" borderId="0" xfId="0"/>
    <xf numFmtId="2" fontId="2" fillId="3" borderId="3" xfId="0" applyNumberFormat="1" applyFont="1" applyFill="1" applyBorder="1" applyAlignment="1">
      <alignment horizontal="right"/>
    </xf>
    <xf numFmtId="2" fontId="3" fillId="3" borderId="0" xfId="0" applyNumberFormat="1" applyFont="1" applyFill="1" applyAlignment="1"/>
    <xf numFmtId="2" fontId="3" fillId="4" borderId="3" xfId="0" applyNumberFormat="1" applyFont="1" applyFill="1" applyBorder="1" applyAlignment="1">
      <alignment horizontal="right"/>
    </xf>
    <xf numFmtId="2" fontId="3" fillId="3" borderId="3" xfId="0" applyNumberFormat="1" applyFont="1" applyFill="1" applyBorder="1" applyAlignment="1"/>
    <xf numFmtId="2" fontId="4" fillId="5" borderId="3" xfId="0" applyNumberFormat="1" applyFont="1" applyFill="1" applyBorder="1" applyAlignment="1"/>
    <xf numFmtId="2" fontId="4" fillId="5" borderId="0" xfId="0" applyNumberFormat="1" applyFont="1" applyFill="1" applyAlignment="1"/>
    <xf numFmtId="2" fontId="5" fillId="5" borderId="0" xfId="0" applyNumberFormat="1" applyFont="1" applyFill="1" applyAlignment="1"/>
    <xf numFmtId="2" fontId="5" fillId="4" borderId="0" xfId="0" applyNumberFormat="1" applyFont="1" applyFill="1" applyAlignment="1"/>
    <xf numFmtId="2" fontId="2" fillId="4" borderId="0" xfId="0" applyNumberFormat="1" applyFont="1" applyFill="1" applyAlignment="1"/>
    <xf numFmtId="2" fontId="6" fillId="0" borderId="0" xfId="0" applyNumberFormat="1" applyFont="1" applyAlignment="1"/>
    <xf numFmtId="2" fontId="7" fillId="2" borderId="0" xfId="0" applyNumberFormat="1" applyFont="1" applyFill="1" applyAlignment="1"/>
    <xf numFmtId="2" fontId="2" fillId="3" borderId="0" xfId="0" applyNumberFormat="1" applyFont="1" applyFill="1" applyAlignment="1"/>
    <xf numFmtId="2" fontId="2" fillId="4" borderId="3" xfId="0" applyNumberFormat="1" applyFont="1" applyFill="1" applyBorder="1" applyAlignment="1"/>
    <xf numFmtId="2" fontId="2" fillId="3" borderId="3" xfId="0" applyNumberFormat="1" applyFont="1" applyFill="1" applyBorder="1" applyAlignment="1"/>
    <xf numFmtId="2" fontId="5" fillId="5" borderId="3" xfId="0" applyNumberFormat="1" applyFont="1" applyFill="1" applyBorder="1" applyAlignment="1"/>
    <xf numFmtId="2" fontId="8" fillId="2" borderId="0" xfId="0" applyNumberFormat="1" applyFont="1" applyFill="1" applyAlignment="1"/>
    <xf numFmtId="2" fontId="5" fillId="3" borderId="3" xfId="0" applyNumberFormat="1" applyFont="1" applyFill="1" applyBorder="1" applyAlignment="1">
      <alignment horizontal="right"/>
    </xf>
    <xf numFmtId="2" fontId="5" fillId="3" borderId="0" xfId="0" applyNumberFormat="1" applyFont="1" applyFill="1" applyAlignment="1"/>
    <xf numFmtId="2" fontId="5" fillId="3" borderId="0" xfId="0" applyNumberFormat="1" applyFont="1" applyFill="1" applyAlignment="1">
      <alignment horizontal="right"/>
    </xf>
    <xf numFmtId="2" fontId="5" fillId="4" borderId="3" xfId="0" applyNumberFormat="1" applyFont="1" applyFill="1" applyBorder="1" applyAlignment="1">
      <alignment horizontal="right"/>
    </xf>
    <xf numFmtId="2" fontId="5" fillId="6" borderId="1" xfId="0" applyNumberFormat="1" applyFont="1" applyFill="1" applyBorder="1" applyAlignment="1"/>
    <xf numFmtId="2" fontId="5" fillId="4" borderId="1" xfId="0" applyNumberFormat="1" applyFont="1" applyFill="1" applyBorder="1" applyAlignment="1"/>
    <xf numFmtId="2" fontId="5" fillId="4" borderId="2" xfId="0" applyNumberFormat="1" applyFont="1" applyFill="1" applyBorder="1" applyAlignment="1"/>
    <xf numFmtId="2" fontId="2" fillId="6" borderId="2" xfId="0" applyNumberFormat="1" applyFont="1" applyFill="1" applyBorder="1" applyAlignment="1"/>
    <xf numFmtId="1" fontId="5" fillId="6" borderId="1" xfId="0" applyNumberFormat="1" applyFont="1" applyFill="1" applyBorder="1" applyAlignment="1"/>
    <xf numFmtId="2" fontId="5" fillId="5" borderId="1" xfId="0" applyNumberFormat="1" applyFont="1" applyFill="1" applyBorder="1" applyAlignment="1" applyProtection="1">
      <protection locked="0"/>
    </xf>
    <xf numFmtId="164" fontId="5" fillId="5" borderId="1" xfId="0" applyNumberFormat="1" applyFont="1" applyFill="1" applyBorder="1" applyAlignment="1" applyProtection="1">
      <protection locked="0"/>
    </xf>
    <xf numFmtId="165" fontId="5" fillId="5" borderId="1" xfId="0" applyNumberFormat="1" applyFont="1" applyFill="1" applyBorder="1" applyAlignment="1" applyProtection="1">
      <protection locked="0"/>
    </xf>
    <xf numFmtId="164" fontId="5" fillId="5" borderId="1" xfId="0" applyNumberFormat="1" applyFont="1" applyFill="1" applyBorder="1" applyAlignment="1"/>
    <xf numFmtId="165" fontId="5" fillId="5" borderId="1" xfId="0" applyNumberFormat="1" applyFont="1" applyFill="1" applyBorder="1" applyAlignment="1"/>
    <xf numFmtId="1" fontId="5" fillId="4" borderId="3" xfId="0" applyNumberFormat="1" applyFont="1" applyFill="1" applyBorder="1" applyAlignment="1"/>
    <xf numFmtId="2" fontId="9" fillId="4" borderId="1" xfId="0" applyNumberFormat="1" applyFont="1" applyFill="1" applyBorder="1" applyAlignment="1"/>
    <xf numFmtId="2" fontId="9" fillId="4" borderId="2" xfId="0" applyNumberFormat="1" applyFont="1" applyFill="1" applyBorder="1" applyAlignment="1"/>
    <xf numFmtId="2" fontId="5" fillId="6" borderId="2" xfId="0" applyNumberFormat="1" applyFont="1" applyFill="1" applyBorder="1" applyAlignment="1"/>
    <xf numFmtId="2" fontId="5" fillId="4" borderId="3" xfId="0" applyNumberFormat="1" applyFont="1" applyFill="1" applyBorder="1" applyAlignment="1"/>
    <xf numFmtId="2" fontId="9" fillId="4" borderId="3" xfId="0" applyNumberFormat="1" applyFont="1" applyFill="1" applyBorder="1" applyAlignment="1"/>
    <xf numFmtId="2" fontId="9" fillId="4" borderId="0" xfId="0" applyNumberFormat="1" applyFont="1" applyFill="1" applyAlignment="1"/>
    <xf numFmtId="2" fontId="9" fillId="5" borderId="1" xfId="0" applyNumberFormat="1" applyFont="1" applyFill="1" applyBorder="1" applyAlignment="1" applyProtection="1">
      <protection locked="0"/>
    </xf>
    <xf numFmtId="2" fontId="9" fillId="5" borderId="2" xfId="0" applyNumberFormat="1" applyFont="1" applyFill="1" applyBorder="1" applyAlignment="1"/>
    <xf numFmtId="2" fontId="5" fillId="6" borderId="3" xfId="0" applyNumberFormat="1" applyFont="1" applyFill="1" applyBorder="1" applyAlignment="1">
      <alignment horizontal="right"/>
    </xf>
    <xf numFmtId="2" fontId="5" fillId="6" borderId="0" xfId="0" applyNumberFormat="1" applyFont="1" applyFill="1" applyAlignment="1"/>
    <xf numFmtId="2" fontId="9" fillId="5" borderId="2" xfId="0" applyNumberFormat="1" applyFont="1" applyFill="1" applyBorder="1" applyAlignment="1" applyProtection="1">
      <protection locked="0"/>
    </xf>
    <xf numFmtId="164" fontId="5" fillId="6" borderId="1" xfId="0" applyNumberFormat="1" applyFont="1" applyFill="1" applyBorder="1" applyAlignment="1"/>
    <xf numFmtId="165" fontId="9" fillId="5" borderId="1" xfId="0" applyNumberFormat="1" applyFont="1" applyFill="1" applyBorder="1" applyAlignment="1" applyProtection="1">
      <protection locked="0"/>
    </xf>
    <xf numFmtId="2" fontId="9" fillId="5" borderId="0" xfId="0" applyNumberFormat="1" applyFont="1" applyFill="1" applyAlignment="1"/>
    <xf numFmtId="165" fontId="5" fillId="6" borderId="0" xfId="0" applyNumberFormat="1" applyFont="1" applyFill="1" applyAlignment="1"/>
    <xf numFmtId="1" fontId="5" fillId="6" borderId="0" xfId="0" applyNumberFormat="1" applyFont="1" applyFill="1" applyAlignment="1"/>
    <xf numFmtId="2" fontId="9" fillId="4" borderId="2" xfId="0" applyNumberFormat="1" applyFont="1" applyFill="1" applyBorder="1" applyAlignment="1" applyProtection="1">
      <protection locked="0"/>
    </xf>
    <xf numFmtId="2" fontId="9" fillId="4" borderId="0" xfId="0" applyNumberFormat="1" applyFont="1" applyFill="1" applyAlignment="1" applyProtection="1">
      <protection locked="0"/>
    </xf>
    <xf numFmtId="2" fontId="5" fillId="8" borderId="4" xfId="0" applyNumberFormat="1" applyFont="1" applyFill="1" applyBorder="1" applyAlignment="1"/>
    <xf numFmtId="2" fontId="5" fillId="8" borderId="5" xfId="0" applyNumberFormat="1" applyFont="1" applyFill="1" applyBorder="1" applyAlignment="1"/>
    <xf numFmtId="2" fontId="5" fillId="5" borderId="6" xfId="0" applyNumberFormat="1" applyFont="1" applyFill="1" applyBorder="1" applyAlignment="1"/>
    <xf numFmtId="2" fontId="5" fillId="8" borderId="6" xfId="0" applyNumberFormat="1" applyFont="1" applyFill="1" applyBorder="1" applyAlignment="1"/>
    <xf numFmtId="2" fontId="5" fillId="8" borderId="0" xfId="0" applyNumberFormat="1" applyFont="1" applyFill="1" applyAlignment="1"/>
    <xf numFmtId="16" fontId="5" fillId="5" borderId="0" xfId="0" applyNumberFormat="1" applyFont="1" applyFill="1" applyAlignment="1"/>
    <xf numFmtId="2" fontId="9" fillId="4" borderId="0" xfId="0" applyNumberFormat="1" applyFont="1" applyFill="1" applyAlignment="1">
      <alignment horizontal="right"/>
    </xf>
    <xf numFmtId="2" fontId="5" fillId="4" borderId="7" xfId="0" applyNumberFormat="1" applyFont="1" applyFill="1" applyBorder="1" applyAlignment="1"/>
    <xf numFmtId="2" fontId="5" fillId="4" borderId="5" xfId="0" applyNumberFormat="1" applyFont="1" applyFill="1" applyBorder="1" applyAlignment="1"/>
    <xf numFmtId="165" fontId="9" fillId="5" borderId="1" xfId="0" applyNumberFormat="1" applyFont="1" applyFill="1" applyBorder="1" applyAlignment="1"/>
    <xf numFmtId="164" fontId="9" fillId="5" borderId="1" xfId="0" applyNumberFormat="1" applyFont="1" applyFill="1" applyBorder="1" applyAlignment="1" applyProtection="1">
      <protection locked="0"/>
    </xf>
    <xf numFmtId="1" fontId="9" fillId="7" borderId="1" xfId="0" applyNumberFormat="1" applyFont="1" applyFill="1" applyBorder="1" applyAlignment="1" applyProtection="1">
      <protection locked="0"/>
    </xf>
    <xf numFmtId="1" fontId="9" fillId="4" borderId="3" xfId="0" applyNumberFormat="1" applyFont="1" applyFill="1" applyBorder="1" applyAlignment="1" applyProtection="1">
      <alignment horizontal="right"/>
      <protection locked="0"/>
    </xf>
    <xf numFmtId="1" fontId="9" fillId="5" borderId="1" xfId="0" applyNumberFormat="1" applyFont="1" applyFill="1" applyBorder="1" applyAlignment="1" applyProtection="1">
      <protection locked="0"/>
    </xf>
    <xf numFmtId="2" fontId="9" fillId="4" borderId="3" xfId="0" applyNumberFormat="1" applyFont="1" applyFill="1" applyBorder="1" applyAlignment="1" applyProtection="1">
      <protection locked="0"/>
    </xf>
    <xf numFmtId="165" fontId="9" fillId="4" borderId="0" xfId="0" applyNumberFormat="1" applyFont="1" applyFill="1" applyAlignment="1"/>
    <xf numFmtId="1" fontId="9" fillId="4" borderId="2" xfId="0" applyNumberFormat="1" applyFont="1" applyFill="1" applyBorder="1" applyAlignment="1"/>
    <xf numFmtId="2" fontId="10" fillId="3" borderId="1" xfId="0" applyNumberFormat="1" applyFont="1" applyFill="1" applyBorder="1" applyAlignment="1"/>
    <xf numFmtId="2" fontId="10" fillId="3" borderId="2" xfId="0" applyNumberFormat="1" applyFont="1" applyFill="1" applyBorder="1" applyAlignment="1"/>
    <xf numFmtId="1" fontId="9" fillId="4" borderId="0" xfId="0" applyNumberFormat="1" applyFont="1" applyFill="1" applyAlignment="1">
      <alignment horizontal="right"/>
    </xf>
    <xf numFmtId="2" fontId="10" fillId="3" borderId="3" xfId="0" applyNumberFormat="1" applyFont="1" applyFill="1" applyBorder="1" applyAlignment="1"/>
    <xf numFmtId="2" fontId="10" fillId="3" borderId="0" xfId="0" applyNumberFormat="1" applyFont="1" applyFill="1" applyAlignment="1"/>
    <xf numFmtId="165" fontId="9" fillId="4" borderId="3" xfId="0" applyNumberFormat="1" applyFont="1" applyFill="1" applyBorder="1" applyAlignment="1"/>
    <xf numFmtId="4" fontId="9" fillId="5" borderId="1" xfId="0" applyNumberFormat="1" applyFont="1" applyFill="1" applyBorder="1" applyAlignment="1"/>
    <xf numFmtId="2" fontId="5" fillId="5" borderId="1" xfId="0" applyNumberFormat="1" applyFont="1" applyFill="1" applyBorder="1" applyAlignment="1"/>
    <xf numFmtId="2" fontId="5" fillId="5" borderId="2" xfId="0" applyNumberFormat="1" applyFont="1" applyFill="1" applyBorder="1" applyAlignment="1"/>
    <xf numFmtId="1" fontId="9" fillId="4" borderId="2" xfId="0" applyNumberFormat="1" applyFont="1" applyFill="1" applyBorder="1" applyAlignment="1">
      <alignment horizontal="right"/>
    </xf>
    <xf numFmtId="2" fontId="5" fillId="6" borderId="0" xfId="0" applyNumberFormat="1" applyFont="1" applyFill="1" applyAlignment="1">
      <alignment horizontal="right"/>
    </xf>
    <xf numFmtId="164" fontId="9" fillId="7" borderId="1" xfId="0" applyNumberFormat="1" applyFont="1" applyFill="1" applyBorder="1" applyAlignment="1" applyProtection="1">
      <protection locked="0"/>
    </xf>
    <xf numFmtId="2" fontId="9" fillId="9" borderId="1" xfId="0" applyNumberFormat="1" applyFont="1" applyFill="1" applyBorder="1" applyAlignment="1"/>
    <xf numFmtId="2" fontId="9" fillId="9" borderId="2" xfId="0" applyNumberFormat="1" applyFont="1" applyFill="1" applyBorder="1" applyAlignment="1"/>
    <xf numFmtId="1" fontId="9" fillId="9" borderId="2" xfId="0" applyNumberFormat="1" applyFont="1" applyFill="1" applyBorder="1" applyAlignment="1"/>
    <xf numFmtId="2" fontId="9" fillId="4" borderId="2" xfId="0" applyNumberFormat="1" applyFont="1" applyFill="1" applyBorder="1" applyAlignment="1">
      <alignment horizontal="right"/>
    </xf>
    <xf numFmtId="2" fontId="5" fillId="6" borderId="1" xfId="0" applyNumberFormat="1" applyFont="1" applyFill="1" applyBorder="1" applyAlignment="1" applyProtection="1">
      <protection locked="0"/>
    </xf>
    <xf numFmtId="164" fontId="9" fillId="4" borderId="0" xfId="0" applyNumberFormat="1" applyFont="1" applyFill="1" applyAlignment="1">
      <alignment horizontal="right"/>
    </xf>
    <xf numFmtId="165" fontId="9" fillId="4" borderId="0" xfId="0" applyNumberFormat="1" applyFont="1" applyFill="1" applyAlignment="1">
      <alignment horizontal="right"/>
    </xf>
    <xf numFmtId="164" fontId="9" fillId="5" borderId="1" xfId="0" applyNumberFormat="1" applyFont="1" applyFill="1" applyBorder="1" applyAlignment="1"/>
    <xf numFmtId="165" fontId="9" fillId="9" borderId="3" xfId="0" applyNumberFormat="1" applyFont="1" applyFill="1" applyBorder="1" applyAlignment="1"/>
    <xf numFmtId="165" fontId="9" fillId="9" borderId="0" xfId="0" applyNumberFormat="1" applyFont="1" applyFill="1" applyAlignment="1"/>
    <xf numFmtId="2" fontId="9" fillId="9" borderId="3" xfId="0" applyNumberFormat="1" applyFont="1" applyFill="1" applyBorder="1" applyAlignment="1"/>
    <xf numFmtId="2" fontId="9" fillId="9" borderId="0" xfId="0" applyNumberFormat="1" applyFont="1" applyFill="1" applyAlignment="1"/>
    <xf numFmtId="2" fontId="5" fillId="6" borderId="0" xfId="0" applyNumberFormat="1" applyFont="1" applyFill="1" applyAlignment="1" applyProtection="1">
      <protection locked="0"/>
    </xf>
    <xf numFmtId="165" fontId="9" fillId="4" borderId="2" xfId="0" applyNumberFormat="1" applyFont="1" applyFill="1" applyBorder="1" applyAlignment="1"/>
    <xf numFmtId="2" fontId="5" fillId="6" borderId="3" xfId="0" applyNumberFormat="1" applyFont="1" applyFill="1" applyBorder="1" applyAlignment="1"/>
    <xf numFmtId="1" fontId="9" fillId="4" borderId="0" xfId="0" applyNumberFormat="1" applyFont="1" applyFill="1" applyAlignment="1" applyProtection="1">
      <protection locked="0"/>
    </xf>
    <xf numFmtId="2" fontId="5" fillId="4" borderId="0" xfId="0" applyNumberFormat="1" applyFont="1" applyFill="1" applyAlignment="1">
      <alignment horizontal="right"/>
    </xf>
    <xf numFmtId="166" fontId="9" fillId="4" borderId="2" xfId="0" applyNumberFormat="1" applyFont="1" applyFill="1" applyBorder="1" applyAlignment="1" applyProtection="1">
      <protection hidden="1"/>
    </xf>
    <xf numFmtId="2" fontId="5" fillId="3" borderId="1" xfId="0" applyNumberFormat="1" applyFont="1" applyFill="1" applyBorder="1" applyAlignment="1"/>
    <xf numFmtId="2" fontId="5" fillId="3" borderId="2" xfId="0" applyNumberFormat="1" applyFont="1" applyFill="1" applyBorder="1" applyAlignment="1"/>
    <xf numFmtId="2" fontId="5" fillId="3" borderId="3" xfId="0" applyNumberFormat="1" applyFont="1" applyFill="1" applyBorder="1" applyAlignment="1"/>
    <xf numFmtId="1" fontId="5" fillId="5" borderId="1" xfId="0" applyNumberFormat="1" applyFont="1" applyFill="1" applyBorder="1" applyAlignment="1" applyProtection="1">
      <protection locked="0"/>
    </xf>
    <xf numFmtId="2" fontId="5" fillId="4" borderId="3" xfId="0" applyNumberFormat="1" applyFont="1" applyFill="1" applyBorder="1" applyAlignment="1" applyProtection="1">
      <protection locked="0"/>
    </xf>
    <xf numFmtId="2" fontId="5" fillId="3" borderId="1" xfId="0" applyNumberFormat="1" applyFont="1" applyFill="1" applyBorder="1" applyAlignment="1" applyProtection="1">
      <protection locked="0"/>
    </xf>
    <xf numFmtId="164" fontId="5" fillId="3" borderId="0" xfId="0" applyNumberFormat="1" applyFont="1" applyFill="1" applyAlignment="1"/>
    <xf numFmtId="2" fontId="5" fillId="4" borderId="0" xfId="0" applyNumberFormat="1" applyFont="1" applyFill="1" applyAlignment="1" applyProtection="1">
      <protection locked="0"/>
    </xf>
    <xf numFmtId="1" fontId="9" fillId="4" borderId="2" xfId="0" applyNumberFormat="1" applyFont="1" applyFill="1" applyBorder="1" applyAlignment="1" applyProtection="1">
      <protection locked="0"/>
    </xf>
    <xf numFmtId="1" fontId="5" fillId="3" borderId="0" xfId="0" applyNumberFormat="1" applyFont="1" applyFill="1" applyAlignment="1"/>
    <xf numFmtId="2" fontId="9" fillId="6" borderId="1" xfId="0" applyNumberFormat="1" applyFont="1" applyFill="1" applyBorder="1" applyAlignment="1"/>
    <xf numFmtId="2" fontId="11" fillId="0" borderId="0" xfId="0" applyNumberFormat="1" applyFont="1" applyAlignment="1"/>
    <xf numFmtId="2" fontId="11" fillId="0" borderId="2" xfId="0" applyNumberFormat="1" applyFont="1" applyBorder="1" applyAlignment="1"/>
    <xf numFmtId="0" fontId="9" fillId="6" borderId="2" xfId="0" applyNumberFormat="1" applyFont="1" applyFill="1" applyBorder="1" applyAlignment="1">
      <alignment horizontal="centerContinuous"/>
    </xf>
    <xf numFmtId="2" fontId="9" fillId="6" borderId="2" xfId="0" applyNumberFormat="1" applyFont="1" applyFill="1" applyBorder="1" applyAlignment="1"/>
    <xf numFmtId="1" fontId="9" fillId="6" borderId="2" xfId="0" applyNumberFormat="1" applyFont="1" applyFill="1" applyBorder="1" applyAlignment="1"/>
    <xf numFmtId="2" fontId="9" fillId="6" borderId="2" xfId="0" applyNumberFormat="1" applyFont="1" applyFill="1" applyBorder="1" applyAlignment="1">
      <alignment horizontal="right"/>
    </xf>
    <xf numFmtId="2" fontId="11" fillId="0" borderId="3" xfId="0" applyNumberFormat="1" applyFont="1" applyBorder="1" applyAlignment="1"/>
    <xf numFmtId="2" fontId="9" fillId="6" borderId="3" xfId="0" applyNumberFormat="1" applyFont="1" applyFill="1" applyBorder="1" applyAlignment="1"/>
    <xf numFmtId="2" fontId="9" fillId="6" borderId="0" xfId="0" applyNumberFormat="1" applyFont="1" applyFill="1" applyAlignment="1"/>
    <xf numFmtId="2" fontId="9" fillId="6" borderId="0" xfId="0" applyNumberFormat="1" applyFont="1" applyFill="1" applyAlignment="1">
      <alignment horizontal="right"/>
    </xf>
    <xf numFmtId="1" fontId="9" fillId="6" borderId="0" xfId="0" applyNumberFormat="1" applyFont="1" applyFill="1" applyAlignment="1"/>
    <xf numFmtId="2" fontId="9" fillId="6" borderId="3" xfId="0" applyNumberFormat="1" applyFont="1" applyFill="1" applyBorder="1" applyAlignment="1">
      <alignment horizontal="right"/>
    </xf>
    <xf numFmtId="1" fontId="9" fillId="6" borderId="0" xfId="0" applyNumberFormat="1" applyFont="1" applyFill="1" applyAlignment="1">
      <alignment horizontal="right"/>
    </xf>
    <xf numFmtId="2" fontId="9" fillId="10" borderId="2" xfId="0" applyNumberFormat="1" applyFont="1" applyFill="1" applyBorder="1" applyAlignment="1"/>
    <xf numFmtId="164" fontId="9" fillId="4" borderId="2" xfId="0" applyNumberFormat="1" applyFont="1" applyFill="1" applyBorder="1" applyAlignment="1"/>
    <xf numFmtId="165" fontId="9" fillId="5" borderId="2" xfId="0" applyNumberFormat="1" applyFont="1" applyFill="1" applyBorder="1" applyAlignment="1" applyProtection="1">
      <protection locked="0"/>
    </xf>
    <xf numFmtId="164" fontId="9" fillId="5" borderId="2" xfId="0" applyNumberFormat="1" applyFont="1" applyFill="1" applyBorder="1" applyAlignment="1" applyProtection="1">
      <protection locked="0"/>
    </xf>
    <xf numFmtId="1" fontId="9" fillId="5" borderId="2" xfId="0" applyNumberFormat="1" applyFont="1" applyFill="1" applyBorder="1" applyAlignment="1" applyProtection="1">
      <protection locked="0"/>
    </xf>
    <xf numFmtId="165" fontId="9" fillId="5" borderId="3" xfId="0" applyNumberFormat="1" applyFont="1" applyFill="1" applyBorder="1" applyAlignment="1"/>
    <xf numFmtId="164" fontId="9" fillId="5" borderId="0" xfId="0" applyNumberFormat="1" applyFont="1" applyFill="1" applyAlignment="1"/>
    <xf numFmtId="165" fontId="9" fillId="5" borderId="0" xfId="0" applyNumberFormat="1" applyFont="1" applyFill="1" applyAlignment="1"/>
    <xf numFmtId="1" fontId="9" fillId="5" borderId="0" xfId="0" applyNumberFormat="1" applyFont="1" applyFill="1" applyAlignment="1"/>
    <xf numFmtId="164" fontId="9" fillId="4" borderId="3" xfId="0" applyNumberFormat="1" applyFont="1" applyFill="1" applyBorder="1" applyAlignment="1"/>
    <xf numFmtId="167" fontId="9" fillId="4" borderId="0" xfId="0" applyNumberFormat="1" applyFont="1" applyFill="1" applyAlignment="1"/>
    <xf numFmtId="1" fontId="9" fillId="4" borderId="0" xfId="0" applyNumberFormat="1" applyFont="1" applyFill="1" applyAlignment="1"/>
    <xf numFmtId="164" fontId="9" fillId="4" borderId="0" xfId="0" applyNumberFormat="1" applyFont="1" applyFill="1" applyAlignment="1"/>
    <xf numFmtId="165" fontId="9" fillId="4" borderId="0" xfId="0" applyNumberFormat="1" applyFont="1" applyFill="1" applyAlignment="1" applyProtection="1">
      <protection locked="0"/>
    </xf>
    <xf numFmtId="165" fontId="9" fillId="5" borderId="0" xfId="0" applyNumberFormat="1" applyFont="1" applyFill="1" applyAlignment="1" applyProtection="1">
      <protection locked="0"/>
    </xf>
    <xf numFmtId="164" fontId="9" fillId="5" borderId="0" xfId="0" applyNumberFormat="1" applyFont="1" applyFill="1" applyAlignment="1" applyProtection="1">
      <protection locked="0"/>
    </xf>
    <xf numFmtId="1" fontId="9" fillId="5" borderId="0" xfId="0" applyNumberFormat="1" applyFont="1" applyFill="1" applyAlignment="1" applyProtection="1">
      <protection locked="0"/>
    </xf>
    <xf numFmtId="2" fontId="9" fillId="5" borderId="0" xfId="0" applyNumberFormat="1" applyFont="1" applyFill="1" applyAlignment="1" applyProtection="1">
      <protection locked="0"/>
    </xf>
    <xf numFmtId="2" fontId="12" fillId="10" borderId="1" xfId="0" applyNumberFormat="1" applyFont="1" applyFill="1" applyBorder="1" applyAlignment="1" applyProtection="1">
      <protection locked="0"/>
    </xf>
    <xf numFmtId="2" fontId="12" fillId="10" borderId="2" xfId="0" applyNumberFormat="1" applyFont="1" applyFill="1" applyBorder="1" applyAlignment="1" applyProtection="1">
      <protection locked="0"/>
    </xf>
    <xf numFmtId="2" fontId="5" fillId="10" borderId="2" xfId="0" applyNumberFormat="1" applyFont="1" applyFill="1" applyBorder="1" applyAlignment="1" applyProtection="1">
      <protection locked="0"/>
    </xf>
    <xf numFmtId="2" fontId="12" fillId="10" borderId="3" xfId="0" applyNumberFormat="1" applyFont="1" applyFill="1" applyBorder="1" applyAlignment="1" applyProtection="1">
      <protection locked="0"/>
    </xf>
    <xf numFmtId="2" fontId="12" fillId="10" borderId="0" xfId="0" applyNumberFormat="1" applyFont="1" applyFill="1" applyAlignment="1" applyProtection="1">
      <protection locked="0"/>
    </xf>
    <xf numFmtId="2" fontId="9" fillId="5" borderId="1" xfId="0" applyNumberFormat="1" applyFont="1" applyFill="1" applyBorder="1" applyAlignment="1"/>
    <xf numFmtId="164" fontId="9" fillId="5" borderId="2" xfId="0" applyNumberFormat="1" applyFont="1" applyFill="1" applyBorder="1" applyAlignment="1"/>
    <xf numFmtId="165" fontId="9" fillId="5" borderId="2" xfId="0" applyNumberFormat="1" applyFont="1" applyFill="1" applyBorder="1" applyAlignment="1"/>
    <xf numFmtId="2" fontId="9" fillId="5" borderId="3" xfId="0" applyNumberFormat="1" applyFont="1" applyFill="1" applyBorder="1" applyAlignment="1"/>
    <xf numFmtId="2" fontId="9" fillId="4" borderId="0" xfId="0" applyNumberFormat="1" applyFont="1" applyFill="1" applyAlignment="1">
      <alignment horizontal="fill"/>
    </xf>
    <xf numFmtId="0" fontId="13" fillId="0" borderId="0" xfId="0" applyNumberFormat="1" applyFont="1" applyAlignment="1"/>
    <xf numFmtId="0" fontId="13" fillId="0" borderId="8" xfId="0" applyNumberFormat="1" applyFont="1" applyBorder="1" applyAlignment="1"/>
    <xf numFmtId="0" fontId="13" fillId="0" borderId="9" xfId="0" applyNumberFormat="1" applyFont="1" applyBorder="1" applyAlignment="1"/>
    <xf numFmtId="0" fontId="13" fillId="0" borderId="10" xfId="0" applyNumberFormat="1" applyFont="1" applyBorder="1" applyAlignment="1"/>
    <xf numFmtId="0" fontId="13" fillId="0" borderId="0" xfId="0" applyNumberFormat="1" applyFont="1" applyAlignment="1">
      <alignment horizontal="right"/>
    </xf>
    <xf numFmtId="165" fontId="9" fillId="5" borderId="13" xfId="0" applyNumberFormat="1" applyFont="1" applyFill="1" applyBorder="1" applyAlignment="1" applyProtection="1">
      <protection locked="0"/>
    </xf>
    <xf numFmtId="2" fontId="9" fillId="4" borderId="0" xfId="0" applyNumberFormat="1" applyFont="1" applyFill="1" applyBorder="1" applyAlignment="1"/>
    <xf numFmtId="2" fontId="9" fillId="4" borderId="0" xfId="0" applyNumberFormat="1" applyFont="1" applyFill="1" applyBorder="1" applyAlignment="1" applyProtection="1">
      <protection locked="0"/>
    </xf>
    <xf numFmtId="2" fontId="9" fillId="4" borderId="0" xfId="0" applyNumberFormat="1" applyFont="1" applyFill="1" applyBorder="1" applyAlignment="1">
      <alignment horizontal="right"/>
    </xf>
    <xf numFmtId="0" fontId="13" fillId="0" borderId="0" xfId="0" applyNumberFormat="1" applyFont="1" applyBorder="1" applyAlignment="1"/>
    <xf numFmtId="0" fontId="13" fillId="0" borderId="14" xfId="0" applyNumberFormat="1" applyFont="1" applyBorder="1" applyAlignment="1"/>
    <xf numFmtId="0" fontId="13" fillId="0" borderId="15" xfId="0" applyNumberFormat="1" applyFont="1" applyBorder="1" applyAlignment="1"/>
    <xf numFmtId="0" fontId="13" fillId="0" borderId="16" xfId="0" applyNumberFormat="1" applyFont="1" applyBorder="1" applyAlignment="1"/>
    <xf numFmtId="15" fontId="13" fillId="0" borderId="14" xfId="0" applyNumberFormat="1" applyFont="1" applyBorder="1" applyAlignment="1"/>
    <xf numFmtId="0" fontId="13" fillId="0" borderId="17" xfId="0" applyNumberFormat="1" applyFont="1" applyBorder="1" applyAlignment="1"/>
    <xf numFmtId="0" fontId="13" fillId="0" borderId="18" xfId="0" applyNumberFormat="1" applyFont="1" applyBorder="1" applyAlignment="1"/>
    <xf numFmtId="2" fontId="7" fillId="2" borderId="10" xfId="0" applyNumberFormat="1" applyFont="1" applyFill="1" applyBorder="1" applyAlignment="1"/>
    <xf numFmtId="2" fontId="6" fillId="0" borderId="10" xfId="0" applyNumberFormat="1" applyFont="1" applyBorder="1" applyAlignment="1"/>
    <xf numFmtId="2" fontId="9" fillId="6" borderId="19" xfId="0" applyNumberFormat="1" applyFont="1" applyFill="1" applyBorder="1" applyAlignment="1"/>
    <xf numFmtId="2" fontId="9" fillId="4" borderId="19" xfId="0" applyNumberFormat="1" applyFont="1" applyFill="1" applyBorder="1" applyAlignment="1"/>
    <xf numFmtId="2" fontId="9" fillId="4" borderId="10" xfId="0" applyNumberFormat="1" applyFont="1" applyFill="1" applyBorder="1" applyAlignment="1"/>
    <xf numFmtId="2" fontId="9" fillId="4" borderId="10" xfId="0" applyNumberFormat="1" applyFont="1" applyFill="1" applyBorder="1" applyAlignment="1">
      <alignment horizontal="right"/>
    </xf>
    <xf numFmtId="2" fontId="9" fillId="5" borderId="19" xfId="0" applyNumberFormat="1" applyFont="1" applyFill="1" applyBorder="1" applyAlignment="1" applyProtection="1">
      <protection locked="0"/>
    </xf>
    <xf numFmtId="1" fontId="9" fillId="5" borderId="19" xfId="0" applyNumberFormat="1" applyFont="1" applyFill="1" applyBorder="1" applyAlignment="1" applyProtection="1">
      <protection locked="0"/>
    </xf>
    <xf numFmtId="2" fontId="9" fillId="4" borderId="10" xfId="0" applyNumberFormat="1" applyFont="1" applyFill="1" applyBorder="1" applyAlignment="1" applyProtection="1">
      <protection locked="0"/>
    </xf>
    <xf numFmtId="2" fontId="9" fillId="6" borderId="19" xfId="0" applyNumberFormat="1" applyFont="1" applyFill="1" applyBorder="1" applyAlignment="1" applyProtection="1">
      <protection locked="0"/>
    </xf>
    <xf numFmtId="2" fontId="9" fillId="6" borderId="10" xfId="0" applyNumberFormat="1" applyFont="1" applyFill="1" applyBorder="1" applyAlignment="1"/>
    <xf numFmtId="2" fontId="9" fillId="10" borderId="19" xfId="0" applyNumberFormat="1" applyFont="1" applyFill="1" applyBorder="1" applyAlignment="1"/>
    <xf numFmtId="165" fontId="9" fillId="5" borderId="19" xfId="0" applyNumberFormat="1" applyFont="1" applyFill="1" applyBorder="1" applyAlignment="1" applyProtection="1">
      <protection locked="0"/>
    </xf>
    <xf numFmtId="165" fontId="9" fillId="5" borderId="10" xfId="0" applyNumberFormat="1" applyFont="1" applyFill="1" applyBorder="1" applyAlignment="1" applyProtection="1">
      <protection locked="0"/>
    </xf>
    <xf numFmtId="165" fontId="9" fillId="5" borderId="20" xfId="0" applyNumberFormat="1" applyFont="1" applyFill="1" applyBorder="1" applyAlignment="1" applyProtection="1">
      <protection locked="0"/>
    </xf>
    <xf numFmtId="2" fontId="2" fillId="3" borderId="0" xfId="0" applyNumberFormat="1" applyFont="1" applyFill="1" applyBorder="1" applyAlignment="1">
      <alignment horizontal="right"/>
    </xf>
    <xf numFmtId="2" fontId="15" fillId="2" borderId="21" xfId="0" applyNumberFormat="1" applyFont="1" applyFill="1" applyBorder="1" applyAlignment="1"/>
    <xf numFmtId="2" fontId="1" fillId="2" borderId="22" xfId="0" applyNumberFormat="1" applyFont="1" applyFill="1" applyBorder="1" applyAlignment="1"/>
    <xf numFmtId="2" fontId="1" fillId="2" borderId="23" xfId="0" applyNumberFormat="1" applyFont="1" applyFill="1" applyBorder="1" applyAlignment="1"/>
    <xf numFmtId="2" fontId="14" fillId="6" borderId="11" xfId="1" applyNumberFormat="1" applyFill="1" applyBorder="1" applyAlignment="1">
      <alignment horizontal="center"/>
    </xf>
    <xf numFmtId="2" fontId="14" fillId="6" borderId="12" xfId="1" applyNumberForma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/>
              <a:t>META/</a:t>
            </a:r>
            <a:r>
              <a:rPr lang="en-CA" sz="1200" b="1" i="0" u="none" strike="noStrike" baseline="0">
                <a:effectLst/>
              </a:rPr>
              <a:t>LOG</a:t>
            </a:r>
            <a:r>
              <a:rPr lang="en-CA"/>
              <a:t> CROSSPLOT</a:t>
            </a:r>
          </a:p>
        </c:rich>
      </c:tx>
      <c:layout>
        <c:manualLayout>
          <c:xMode val="edge"/>
          <c:yMode val="edge"/>
          <c:x val="0.22946175637393768"/>
          <c:y val="3.25815333782047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813031161473087"/>
          <c:y val="0.18295784127761122"/>
          <c:w val="0.61189801699716717"/>
          <c:h val="0.64160558037080095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38100">
                <a:solidFill>
                  <a:srgbClr val="FF0000"/>
                </a:solidFill>
                <a:prstDash val="solid"/>
              </a:ln>
            </c:spPr>
            <c:trendlineType val="exp"/>
            <c:dispRSqr val="0"/>
            <c:dispEq val="0"/>
          </c:trendline>
          <c:xVal>
            <c:numRef>
              <c:f>A!$DJ$73:$DJ$79</c:f>
              <c:numCache>
                <c:formatCode>0.00</c:formatCode>
                <c:ptCount val="7"/>
                <c:pt idx="0">
                  <c:v>5.7339401311811977E-2</c:v>
                </c:pt>
                <c:pt idx="1">
                  <c:v>0.27890528142899207</c:v>
                </c:pt>
                <c:pt idx="2">
                  <c:v>0.25578542122420922</c:v>
                </c:pt>
                <c:pt idx="3">
                  <c:v>0.2156706045529504</c:v>
                </c:pt>
                <c:pt idx="4">
                  <c:v>0.19453581027162084</c:v>
                </c:pt>
                <c:pt idx="5">
                  <c:v>0.21708016781039011</c:v>
                </c:pt>
                <c:pt idx="6">
                  <c:v>0.32411360788700422</c:v>
                </c:pt>
              </c:numCache>
            </c:numRef>
          </c:xVal>
          <c:yVal>
            <c:numRef>
              <c:f>A!$DK$73:$DK$79</c:f>
              <c:numCache>
                <c:formatCode>0.00</c:formatCode>
                <c:ptCount val="7"/>
                <c:pt idx="0">
                  <c:v>8.7449947494025446E-2</c:v>
                </c:pt>
                <c:pt idx="1">
                  <c:v>4.7167220589995111E-2</c:v>
                </c:pt>
                <c:pt idx="2">
                  <c:v>0.11786089034634956</c:v>
                </c:pt>
                <c:pt idx="3">
                  <c:v>0.14312790304580275</c:v>
                </c:pt>
                <c:pt idx="4">
                  <c:v>0.18022126325081503</c:v>
                </c:pt>
                <c:pt idx="5">
                  <c:v>0.16041553492288399</c:v>
                </c:pt>
                <c:pt idx="6">
                  <c:v>0.12065525204004117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725376"/>
        <c:axId val="192727296"/>
      </c:scatterChart>
      <c:valAx>
        <c:axId val="192725376"/>
        <c:scaling>
          <c:orientation val="minMax"/>
          <c:max val="1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strRef>
              <c:f>A!$DJ$72</c:f>
              <c:strCache>
                <c:ptCount val="1"/>
                <c:pt idx="0">
                  <c:v>Water Saturation - fractional</c:v>
                </c:pt>
              </c:strCache>
            </c:strRef>
          </c:tx>
          <c:layout>
            <c:manualLayout>
              <c:xMode val="edge"/>
              <c:yMode val="edge"/>
              <c:x val="0.35410764872521244"/>
              <c:y val="0.8897264884048216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0.00" sourceLinked="1"/>
        <c:majorTickMark val="in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2727296"/>
        <c:crosses val="autoZero"/>
        <c:crossBetween val="midCat"/>
        <c:majorUnit val="0.2"/>
        <c:minorUnit val="0.05"/>
      </c:valAx>
      <c:valAx>
        <c:axId val="192727296"/>
        <c:scaling>
          <c:orientation val="minMax"/>
          <c:max val="0.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strRef>
              <c:f>A!$DK$72</c:f>
              <c:strCache>
                <c:ptCount val="1"/>
                <c:pt idx="0">
                  <c:v>Porosity - fractional</c:v>
                </c:pt>
              </c:strCache>
            </c:strRef>
          </c:tx>
          <c:layout>
            <c:manualLayout>
              <c:xMode val="edge"/>
              <c:yMode val="edge"/>
              <c:x val="5.0991501416430593E-2"/>
              <c:y val="0.34335923637031146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0.00" sourceLinked="1"/>
        <c:majorTickMark val="in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2725376"/>
        <c:crosses val="autoZero"/>
        <c:crossBetween val="midCat"/>
        <c:majorUnit val="0.05"/>
        <c:minorUnit val="0.0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237960339943341"/>
          <c:y val="0.47368536988313037"/>
          <c:w val="0.26628895184135976"/>
          <c:h val="0.1228073181178486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/>
              <a:t>META/</a:t>
            </a:r>
            <a:r>
              <a:rPr lang="en-CA" sz="1200" b="1" i="0" u="none" strike="noStrike" baseline="0">
                <a:effectLst/>
              </a:rPr>
              <a:t>LOG</a:t>
            </a:r>
            <a:r>
              <a:rPr lang="en-CA"/>
              <a:t> CROSSPLOT</a:t>
            </a:r>
          </a:p>
        </c:rich>
      </c:tx>
      <c:layout>
        <c:manualLayout>
          <c:xMode val="edge"/>
          <c:yMode val="edge"/>
          <c:x val="0.23098623320069486"/>
          <c:y val="3.25815333782047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90170678601836"/>
          <c:y val="0.18295784127761122"/>
          <c:w val="0.60845154111402555"/>
          <c:h val="0.64160558037080095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38100">
                <a:solidFill>
                  <a:srgbClr val="FF0000"/>
                </a:solidFill>
                <a:prstDash val="solid"/>
              </a:ln>
            </c:spPr>
            <c:trendlineType val="log"/>
            <c:dispRSqr val="0"/>
            <c:dispEq val="0"/>
          </c:trendline>
          <c:xVal>
            <c:numRef>
              <c:f>A!$DL$73:$DL$79</c:f>
              <c:numCache>
                <c:formatCode>0.00</c:formatCode>
                <c:ptCount val="7"/>
                <c:pt idx="0">
                  <c:v>13.603510937606529</c:v>
                </c:pt>
                <c:pt idx="1">
                  <c:v>1.415559850152779E-2</c:v>
                </c:pt>
                <c:pt idx="2">
                  <c:v>4.1372830197390753</c:v>
                </c:pt>
                <c:pt idx="3">
                  <c:v>18.482637239513263</c:v>
                </c:pt>
                <c:pt idx="4">
                  <c:v>123.65330446522979</c:v>
                </c:pt>
                <c:pt idx="5">
                  <c:v>48.722423364518519</c:v>
                </c:pt>
                <c:pt idx="6">
                  <c:v>4.9903078756751666</c:v>
                </c:pt>
              </c:numCache>
            </c:numRef>
          </c:xVal>
          <c:yVal>
            <c:numRef>
              <c:f>A!$DM$73:$DM$79</c:f>
              <c:numCache>
                <c:formatCode>0.00</c:formatCode>
                <c:ptCount val="7"/>
                <c:pt idx="0">
                  <c:v>8.7449947494025446E-2</c:v>
                </c:pt>
                <c:pt idx="1">
                  <c:v>4.7167220589995111E-2</c:v>
                </c:pt>
                <c:pt idx="2">
                  <c:v>0.11786089034634956</c:v>
                </c:pt>
                <c:pt idx="3">
                  <c:v>0.14312790304580275</c:v>
                </c:pt>
                <c:pt idx="4">
                  <c:v>0.18022126325081503</c:v>
                </c:pt>
                <c:pt idx="5">
                  <c:v>0.16041553492288399</c:v>
                </c:pt>
                <c:pt idx="6">
                  <c:v>0.12065525204004117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757120"/>
        <c:axId val="192779776"/>
      </c:scatterChart>
      <c:valAx>
        <c:axId val="192757120"/>
        <c:scaling>
          <c:logBase val="10"/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strRef>
              <c:f>A!$DL$72</c:f>
              <c:strCache>
                <c:ptCount val="1"/>
                <c:pt idx="0">
                  <c:v>Permeability - millidarcies</c:v>
                </c:pt>
              </c:strCache>
            </c:strRef>
          </c:tx>
          <c:layout>
            <c:manualLayout>
              <c:xMode val="edge"/>
              <c:yMode val="edge"/>
              <c:x val="0.28169052829353031"/>
              <c:y val="0.89975157559811536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0"/>
        <c:majorTickMark val="in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2779776"/>
        <c:crosses val="autoZero"/>
        <c:crossBetween val="midCat"/>
        <c:majorUnit val="10"/>
        <c:minorUnit val="10"/>
      </c:valAx>
      <c:valAx>
        <c:axId val="192779776"/>
        <c:scaling>
          <c:orientation val="minMax"/>
          <c:max val="0.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strRef>
              <c:f>A!$DM$72</c:f>
              <c:strCache>
                <c:ptCount val="1"/>
                <c:pt idx="0">
                  <c:v>Porosity - fractional</c:v>
                </c:pt>
              </c:strCache>
            </c:strRef>
          </c:tx>
          <c:layout>
            <c:manualLayout>
              <c:xMode val="edge"/>
              <c:yMode val="edge"/>
              <c:x val="5.0704295092835458E-2"/>
              <c:y val="0.34335923637031146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0.00" sourceLinked="1"/>
        <c:majorTickMark val="in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2757120"/>
        <c:crossesAt val="0.01"/>
        <c:crossBetween val="midCat"/>
        <c:majorUnit val="0.05"/>
        <c:minorUnit val="0.0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0282763373079"/>
          <c:y val="0.47368536988313037"/>
          <c:w val="0.20845099093721245"/>
          <c:h val="0.1228073181178486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/>
              <a:t>META/</a:t>
            </a:r>
            <a:r>
              <a:rPr lang="en-CA" sz="1200" b="1" i="0" u="none" strike="noStrike" baseline="0">
                <a:effectLst/>
              </a:rPr>
              <a:t>LOG</a:t>
            </a:r>
            <a:r>
              <a:rPr lang="en-CA"/>
              <a:t> CROSSPLOT</a:t>
            </a:r>
          </a:p>
        </c:rich>
      </c:tx>
      <c:layout>
        <c:manualLayout>
          <c:xMode val="edge"/>
          <c:yMode val="edge"/>
          <c:x val="0.22946175637393768"/>
          <c:y val="3.25815333782047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813031161473087"/>
          <c:y val="0.18295784127761122"/>
          <c:w val="0.61189801699716717"/>
          <c:h val="0.64160558037080095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A!$DN$73:$DN$79</c:f>
              <c:numCache>
                <c:formatCode>0.00</c:formatCode>
                <c:ptCount val="7"/>
                <c:pt idx="0">
                  <c:v>0.3</c:v>
                </c:pt>
                <c:pt idx="1">
                  <c:v>0.12925</c:v>
                </c:pt>
                <c:pt idx="2">
                  <c:v>0.1278</c:v>
                </c:pt>
                <c:pt idx="3">
                  <c:v>0.16966666666666699</c:v>
                </c:pt>
                <c:pt idx="4">
                  <c:v>0.17633333333333301</c:v>
                </c:pt>
                <c:pt idx="5">
                  <c:v>0.155</c:v>
                </c:pt>
                <c:pt idx="6">
                  <c:v>0.1295</c:v>
                </c:pt>
              </c:numCache>
            </c:numRef>
          </c:xVal>
          <c:yVal>
            <c:numRef>
              <c:f>A!$DO$73:$DO$79</c:f>
              <c:numCache>
                <c:formatCode>0.00</c:formatCode>
                <c:ptCount val="7"/>
                <c:pt idx="0">
                  <c:v>0</c:v>
                </c:pt>
                <c:pt idx="1">
                  <c:v>-5.0500000000000003E-2</c:v>
                </c:pt>
                <c:pt idx="2">
                  <c:v>7.6999999999999999E-2</c:v>
                </c:pt>
                <c:pt idx="3">
                  <c:v>0.10299999999999999</c:v>
                </c:pt>
                <c:pt idx="4">
                  <c:v>0.148666666666667</c:v>
                </c:pt>
                <c:pt idx="5">
                  <c:v>0.1265</c:v>
                </c:pt>
                <c:pt idx="6">
                  <c:v>8.0166666666666705E-2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131456"/>
        <c:axId val="194138112"/>
      </c:scatterChart>
      <c:valAx>
        <c:axId val="194131456"/>
        <c:scaling>
          <c:orientation val="minMax"/>
          <c:max val="0.3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strRef>
              <c:f>A!$DN$72</c:f>
              <c:strCache>
                <c:ptCount val="1"/>
                <c:pt idx="0">
                  <c:v>Neutron Porosity - fractional</c:v>
                </c:pt>
              </c:strCache>
            </c:strRef>
          </c:tx>
          <c:layout>
            <c:manualLayout>
              <c:xMode val="edge"/>
              <c:yMode val="edge"/>
              <c:x val="0.26912181303116145"/>
              <c:y val="0.89975157559811536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0.00" sourceLinked="1"/>
        <c:majorTickMark val="in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4138112"/>
        <c:crosses val="autoZero"/>
        <c:crossBetween val="midCat"/>
        <c:majorUnit val="0.05"/>
        <c:minorUnit val="0.01"/>
      </c:valAx>
      <c:valAx>
        <c:axId val="194138112"/>
        <c:scaling>
          <c:orientation val="minMax"/>
          <c:max val="0.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strRef>
              <c:f>A!$DO$72</c:f>
              <c:strCache>
                <c:ptCount val="1"/>
                <c:pt idx="0">
                  <c:v>Density Porosity - fractional</c:v>
                </c:pt>
              </c:strCache>
            </c:strRef>
          </c:tx>
          <c:layout>
            <c:manualLayout>
              <c:xMode val="edge"/>
              <c:yMode val="edge"/>
              <c:x val="5.0991501416430593E-2"/>
              <c:y val="0.28070244141222545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0.00" sourceLinked="1"/>
        <c:majorTickMark val="in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4131456"/>
        <c:crosses val="autoZero"/>
        <c:crossBetween val="midCat"/>
        <c:majorUnit val="0.05"/>
        <c:minorUnit val="0.0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084985835694054"/>
          <c:y val="0.47619164168145384"/>
          <c:w val="7.3654390934844188E-2"/>
          <c:h val="6.01505231597625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/>
              <a:t>META/</a:t>
            </a:r>
            <a:r>
              <a:rPr lang="en-CA" sz="1200" b="1" i="0" u="none" strike="noStrike" baseline="0">
                <a:effectLst/>
              </a:rPr>
              <a:t>LOG</a:t>
            </a:r>
            <a:r>
              <a:rPr lang="en-CA"/>
              <a:t> CROSSPLOT</a:t>
            </a:r>
          </a:p>
        </c:rich>
      </c:tx>
      <c:layout>
        <c:manualLayout>
          <c:xMode val="edge"/>
          <c:yMode val="edge"/>
          <c:x val="0.23098623320069486"/>
          <c:y val="3.25815333782047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90170678601836"/>
          <c:y val="0.18295784127761122"/>
          <c:w val="0.60845154111402555"/>
          <c:h val="0.64160558037080095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A!$DP$73:$DP$79</c:f>
              <c:numCache>
                <c:formatCode>0.00</c:formatCode>
                <c:ptCount val="7"/>
                <c:pt idx="0">
                  <c:v>182.9</c:v>
                </c:pt>
                <c:pt idx="1">
                  <c:v>223.77500000000001</c:v>
                </c:pt>
                <c:pt idx="2">
                  <c:v>63.32</c:v>
                </c:pt>
                <c:pt idx="3">
                  <c:v>54.366666666666703</c:v>
                </c:pt>
                <c:pt idx="4">
                  <c:v>43.933333333333302</c:v>
                </c:pt>
                <c:pt idx="5">
                  <c:v>45.3</c:v>
                </c:pt>
                <c:pt idx="6">
                  <c:v>37.466666666666697</c:v>
                </c:pt>
              </c:numCache>
            </c:numRef>
          </c:xVal>
          <c:yVal>
            <c:numRef>
              <c:f>A!$DQ$73:$DQ$79</c:f>
              <c:numCache>
                <c:formatCode>0.00</c:formatCode>
                <c:ptCount val="7"/>
                <c:pt idx="0">
                  <c:v>8.7449947494025446E-2</c:v>
                </c:pt>
                <c:pt idx="1">
                  <c:v>4.7167220589995111E-2</c:v>
                </c:pt>
                <c:pt idx="2">
                  <c:v>0.11786089034634956</c:v>
                </c:pt>
                <c:pt idx="3">
                  <c:v>0.14312790304580275</c:v>
                </c:pt>
                <c:pt idx="4">
                  <c:v>0.18022126325081503</c:v>
                </c:pt>
                <c:pt idx="5">
                  <c:v>0.16041553492288399</c:v>
                </c:pt>
                <c:pt idx="6">
                  <c:v>0.12065525204004117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054016"/>
        <c:axId val="194064768"/>
      </c:scatterChart>
      <c:valAx>
        <c:axId val="194054016"/>
        <c:scaling>
          <c:logBase val="10"/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strRef>
              <c:f>A!$DP$72</c:f>
              <c:strCache>
                <c:ptCount val="1"/>
                <c:pt idx="0">
                  <c:v>Deep Resistivity -ohm-m</c:v>
                </c:pt>
              </c:strCache>
            </c:strRef>
          </c:tx>
          <c:layout>
            <c:manualLayout>
              <c:xMode val="edge"/>
              <c:yMode val="edge"/>
              <c:x val="0.30140886527407745"/>
              <c:y val="0.89975157559811536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0"/>
        <c:majorTickMark val="in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4064768"/>
        <c:crossesAt val="0.01"/>
        <c:crossBetween val="midCat"/>
      </c:valAx>
      <c:valAx>
        <c:axId val="194064768"/>
        <c:scaling>
          <c:logBase val="10"/>
          <c:orientation val="minMax"/>
          <c:max val="1"/>
          <c:min val="0.0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strRef>
              <c:f>A!$DQ$72</c:f>
              <c:strCache>
                <c:ptCount val="1"/>
                <c:pt idx="0">
                  <c:v>Effective Porosity - fractional</c:v>
                </c:pt>
              </c:strCache>
            </c:strRef>
          </c:tx>
          <c:layout>
            <c:manualLayout>
              <c:xMode val="edge"/>
              <c:yMode val="edge"/>
              <c:x val="5.0704295092835458E-2"/>
              <c:y val="0.2706773542189316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0.00" sourceLinked="1"/>
        <c:majorTickMark val="in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4054016"/>
        <c:crossesAt val="10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140969053929709"/>
          <c:y val="0.47619164168145384"/>
          <c:w val="7.3239537356317885E-2"/>
          <c:h val="6.01505231597625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80</xdr:row>
      <xdr:rowOff>0</xdr:rowOff>
    </xdr:from>
    <xdr:to>
      <xdr:col>4</xdr:col>
      <xdr:colOff>352425</xdr:colOff>
      <xdr:row>103</xdr:row>
      <xdr:rowOff>76201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0</xdr:colOff>
      <xdr:row>80</xdr:row>
      <xdr:rowOff>0</xdr:rowOff>
    </xdr:from>
    <xdr:to>
      <xdr:col>9</xdr:col>
      <xdr:colOff>371475</xdr:colOff>
      <xdr:row>103</xdr:row>
      <xdr:rowOff>76201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100</xdr:row>
      <xdr:rowOff>1</xdr:rowOff>
    </xdr:from>
    <xdr:to>
      <xdr:col>4</xdr:col>
      <xdr:colOff>352425</xdr:colOff>
      <xdr:row>119</xdr:row>
      <xdr:rowOff>122904</xdr:rowOff>
    </xdr:to>
    <xdr:graphicFrame macro="">
      <xdr:nvGraphicFramePr>
        <xdr:cNvPr id="10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0</xdr:colOff>
      <xdr:row>100</xdr:row>
      <xdr:rowOff>1</xdr:rowOff>
    </xdr:from>
    <xdr:to>
      <xdr:col>9</xdr:col>
      <xdr:colOff>371475</xdr:colOff>
      <xdr:row>119</xdr:row>
      <xdr:rowOff>122904</xdr:rowOff>
    </xdr:to>
    <xdr:graphicFrame macro="">
      <xdr:nvGraphicFramePr>
        <xdr:cNvPr id="102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FF00"/>
      </a:dk1>
      <a:lt1>
        <a:sysClr val="window" lastClr="00000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pec2000.net/00-fineprint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S122"/>
  <sheetViews>
    <sheetView tabSelected="1" defaultGridColor="0" colorId="15" zoomScale="124" zoomScaleNormal="124" workbookViewId="0"/>
  </sheetViews>
  <sheetFormatPr defaultColWidth="9.88671875" defaultRowHeight="12.75"/>
  <cols>
    <col min="1" max="10" width="8.77734375" style="10" customWidth="1"/>
    <col min="11" max="11" width="7.77734375" style="10" customWidth="1"/>
    <col min="12" max="12" width="9.6640625" style="10" customWidth="1"/>
    <col min="13" max="13" width="13.44140625" style="10" customWidth="1"/>
    <col min="14" max="14" width="8.6640625" style="10" customWidth="1"/>
    <col min="15" max="15" width="13.44140625" style="10" customWidth="1"/>
    <col min="16" max="16" width="7.88671875" style="10" customWidth="1"/>
    <col min="17" max="17" width="9.5546875" style="10" customWidth="1"/>
    <col min="18" max="18" width="8.6640625" style="10" customWidth="1"/>
    <col min="19" max="22" width="7.77734375" style="10" customWidth="1"/>
    <col min="23" max="23" width="6.6640625" style="10" customWidth="1"/>
    <col min="24" max="25" width="8.6640625" style="10" customWidth="1"/>
    <col min="26" max="26" width="9.6640625" style="10" customWidth="1"/>
    <col min="27" max="35" width="7.77734375" style="10" customWidth="1"/>
    <col min="36" max="36" width="10.109375" style="10" customWidth="1"/>
    <col min="37" max="42" width="7.77734375" style="10" customWidth="1"/>
    <col min="43" max="43" width="7.88671875" style="10" customWidth="1"/>
    <col min="44" max="54" width="7.77734375" style="10" customWidth="1"/>
    <col min="55" max="55" width="8.6640625" style="10" customWidth="1"/>
    <col min="56" max="59" width="7.77734375" style="10" customWidth="1"/>
    <col min="60" max="60" width="8.6640625" style="10" customWidth="1"/>
    <col min="61" max="63" width="7.77734375" style="10" customWidth="1"/>
    <col min="64" max="64" width="10.77734375" style="10" customWidth="1"/>
    <col min="65" max="66" width="9.44140625" style="10" customWidth="1"/>
    <col min="67" max="67" width="8.6640625" style="10" customWidth="1"/>
    <col min="68" max="68" width="9.44140625" style="10" customWidth="1"/>
    <col min="69" max="71" width="9.88671875" style="10" customWidth="1"/>
    <col min="72" max="73" width="12.5546875" style="10" customWidth="1"/>
    <col min="74" max="74" width="12.109375" style="10" customWidth="1"/>
    <col min="75" max="75" width="11.21875" style="10" customWidth="1"/>
    <col min="76" max="77" width="8.6640625" style="10" customWidth="1"/>
    <col min="78" max="78" width="9.88671875" style="10" customWidth="1"/>
    <col min="79" max="79" width="13" style="10" customWidth="1"/>
    <col min="80" max="80" width="8.6640625" style="10" customWidth="1"/>
    <col min="81" max="82" width="9.44140625" style="10" customWidth="1"/>
    <col min="83" max="83" width="10.77734375" style="10" customWidth="1"/>
    <col min="84" max="84" width="9.44140625" style="10" customWidth="1"/>
    <col min="85" max="87" width="10.77734375" style="10" customWidth="1"/>
    <col min="88" max="88" width="9.44140625" style="10" customWidth="1"/>
    <col min="89" max="89" width="12.5546875" style="10" customWidth="1"/>
    <col min="90" max="92" width="9.44140625" style="10" customWidth="1"/>
    <col min="93" max="93" width="9.88671875" style="10" customWidth="1"/>
    <col min="94" max="94" width="9.88671875" style="10"/>
    <col min="95" max="95" width="8.6640625" style="10" customWidth="1"/>
    <col min="96" max="97" width="9.88671875" style="10"/>
    <col min="98" max="98" width="8.6640625" style="10" customWidth="1"/>
    <col min="99" max="16384" width="9.88671875" style="10"/>
  </cols>
  <sheetData>
    <row r="1" spans="1:123" ht="30.75" thickTop="1">
      <c r="A1" s="181" t="s">
        <v>492</v>
      </c>
      <c r="B1" s="182"/>
      <c r="C1" s="182"/>
      <c r="D1" s="182"/>
      <c r="E1" s="182"/>
      <c r="F1" s="182"/>
      <c r="G1" s="182"/>
      <c r="H1" s="182"/>
      <c r="I1" s="182"/>
      <c r="J1" s="183"/>
      <c r="K1" s="180"/>
      <c r="L1" s="2" t="s">
        <v>0</v>
      </c>
      <c r="M1" s="2"/>
      <c r="N1" s="2"/>
      <c r="O1" s="2"/>
      <c r="P1" s="2"/>
      <c r="Q1" s="2"/>
      <c r="R1" s="2"/>
      <c r="S1" s="3"/>
      <c r="T1" s="4" t="s">
        <v>1</v>
      </c>
      <c r="U1" s="2"/>
      <c r="V1" s="2"/>
      <c r="W1" s="2"/>
      <c r="X1" s="2"/>
      <c r="Y1" s="2"/>
      <c r="Z1" s="2"/>
      <c r="AA1" s="2"/>
      <c r="AB1" s="2"/>
      <c r="AC1" s="2"/>
      <c r="AD1" s="2"/>
      <c r="AE1" s="4" t="s">
        <v>2</v>
      </c>
      <c r="AF1" s="2"/>
      <c r="AG1" s="2"/>
      <c r="AH1" s="2"/>
      <c r="AI1" s="2"/>
      <c r="AJ1" s="2"/>
      <c r="AK1" s="2"/>
      <c r="AL1" s="2"/>
      <c r="AM1" s="5"/>
      <c r="AN1" s="6"/>
      <c r="AO1" s="6" t="s">
        <v>3</v>
      </c>
      <c r="AP1" s="6"/>
      <c r="AQ1" s="6"/>
      <c r="AR1" s="6"/>
      <c r="AS1" s="6"/>
      <c r="AT1" s="6"/>
      <c r="AU1" s="7"/>
      <c r="AV1" s="7"/>
      <c r="AW1" s="8"/>
      <c r="AX1" s="8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</row>
    <row r="2" spans="1:123" ht="18.75" thickBot="1">
      <c r="A2" s="165" t="s">
        <v>493</v>
      </c>
      <c r="B2" s="11"/>
      <c r="C2" s="11"/>
      <c r="D2" s="11"/>
      <c r="E2" s="11"/>
      <c r="F2" s="11"/>
      <c r="G2" s="11"/>
      <c r="H2" s="11"/>
      <c r="I2" s="11"/>
      <c r="J2" s="11"/>
      <c r="K2" s="1"/>
      <c r="L2" s="12"/>
      <c r="M2" s="12"/>
      <c r="N2" s="12"/>
      <c r="O2" s="12"/>
      <c r="P2" s="12"/>
      <c r="Q2" s="12"/>
      <c r="R2" s="12"/>
      <c r="S2" s="13"/>
      <c r="T2" s="14"/>
      <c r="U2" s="12"/>
      <c r="V2" s="12"/>
      <c r="W2" s="12"/>
      <c r="X2" s="12"/>
      <c r="Y2" s="12"/>
      <c r="Z2" s="12"/>
      <c r="AA2" s="12"/>
      <c r="AB2" s="12"/>
      <c r="AC2" s="12"/>
      <c r="AD2" s="12"/>
      <c r="AE2" s="14"/>
      <c r="AF2" s="12"/>
      <c r="AG2" s="12"/>
      <c r="AH2" s="12"/>
      <c r="AI2" s="12"/>
      <c r="AJ2" s="12"/>
      <c r="AK2" s="12"/>
      <c r="AL2" s="12"/>
      <c r="AM2" s="15"/>
      <c r="AN2" s="7"/>
      <c r="AO2" s="7"/>
      <c r="AP2" s="7" t="s">
        <v>5</v>
      </c>
      <c r="AQ2" s="7"/>
      <c r="AR2" s="7"/>
      <c r="AS2" s="7"/>
      <c r="AT2" s="7"/>
      <c r="AU2" s="7"/>
      <c r="AV2" s="7"/>
      <c r="AW2" s="8"/>
      <c r="AX2" s="8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</row>
    <row r="3" spans="1:123" ht="18.75" thickBot="1">
      <c r="A3" s="165" t="s">
        <v>4</v>
      </c>
      <c r="B3" s="16"/>
      <c r="C3" s="16"/>
      <c r="D3" s="16"/>
      <c r="E3" s="16"/>
      <c r="F3" s="16"/>
      <c r="G3" s="16"/>
      <c r="H3" s="16"/>
      <c r="I3" s="16"/>
      <c r="J3" s="16"/>
      <c r="K3" s="17"/>
      <c r="L3" s="18" t="s">
        <v>6</v>
      </c>
      <c r="M3" s="18"/>
      <c r="N3" s="18"/>
      <c r="O3" s="19" t="s">
        <v>7</v>
      </c>
      <c r="P3" s="19" t="s">
        <v>8</v>
      </c>
      <c r="Q3" s="19" t="s">
        <v>9</v>
      </c>
      <c r="R3" s="19" t="s">
        <v>10</v>
      </c>
      <c r="S3" s="20"/>
      <c r="T3" s="21" t="s">
        <v>11</v>
      </c>
      <c r="U3" s="21"/>
      <c r="V3" s="21"/>
      <c r="W3" s="22" t="s">
        <v>12</v>
      </c>
      <c r="X3" s="22" t="s">
        <v>13</v>
      </c>
      <c r="Y3" s="22" t="s">
        <v>14</v>
      </c>
      <c r="Z3" s="22" t="s">
        <v>15</v>
      </c>
      <c r="AA3" s="22" t="s">
        <v>473</v>
      </c>
      <c r="AB3" s="22" t="s">
        <v>16</v>
      </c>
      <c r="AC3" s="22" t="s">
        <v>17</v>
      </c>
      <c r="AD3" s="22" t="s">
        <v>18</v>
      </c>
      <c r="AE3" s="22" t="s">
        <v>19</v>
      </c>
      <c r="AF3" s="23"/>
      <c r="AG3" s="23"/>
      <c r="AH3" s="23"/>
      <c r="AI3" s="23"/>
      <c r="AJ3" s="23"/>
      <c r="AK3" s="23"/>
      <c r="AL3" s="23"/>
      <c r="AM3" s="15"/>
      <c r="AN3" s="7"/>
      <c r="AT3" s="7"/>
      <c r="AU3" s="7"/>
      <c r="AV3" s="7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</row>
    <row r="4" spans="1:123" ht="13.5" thickBot="1">
      <c r="A4" s="166"/>
      <c r="K4" s="17"/>
      <c r="L4" s="18" t="s">
        <v>20</v>
      </c>
      <c r="M4" s="18" t="s">
        <v>21</v>
      </c>
      <c r="N4" s="18" t="s">
        <v>22</v>
      </c>
      <c r="O4" s="19" t="s">
        <v>23</v>
      </c>
      <c r="P4" s="19" t="s">
        <v>23</v>
      </c>
      <c r="Q4" s="19" t="s">
        <v>23</v>
      </c>
      <c r="R4" s="19" t="s">
        <v>24</v>
      </c>
      <c r="S4" s="20"/>
      <c r="T4" s="21" t="s">
        <v>25</v>
      </c>
      <c r="U4" s="21" t="s">
        <v>26</v>
      </c>
      <c r="V4" s="25"/>
      <c r="W4" s="26" t="s">
        <v>27</v>
      </c>
      <c r="X4" s="26">
        <v>1.80377358490566</v>
      </c>
      <c r="Y4" s="27">
        <v>-2.8000000000000001E-2</v>
      </c>
      <c r="Z4" s="26">
        <f>2.65*$L$15</f>
        <v>2650</v>
      </c>
      <c r="AA4" s="28">
        <f>55.4708930204206*$L$9</f>
        <v>181.99111883340072</v>
      </c>
      <c r="AB4" s="29">
        <f t="shared" ref="AB4:AB28" si="0">0.01*($E$25-AA4)/(Z4-$D$25)/$L$9*$L$15</f>
        <v>0.80320670896714785</v>
      </c>
      <c r="AC4" s="29">
        <f t="shared" ref="AC4:AC28" si="1">($C$25-Y4)/(Z4-$D$25)*$L$15</f>
        <v>0.62303030303030305</v>
      </c>
      <c r="AD4" s="30">
        <f t="shared" ref="AD4:AD28" si="2">Z4*X4/$L$15</f>
        <v>4.7799999999999994</v>
      </c>
      <c r="AE4" s="31" t="s">
        <v>28</v>
      </c>
      <c r="AF4" s="8"/>
      <c r="AG4" s="8"/>
      <c r="AH4" s="8"/>
      <c r="AI4" s="8"/>
      <c r="AJ4" s="8"/>
      <c r="AK4" s="8"/>
      <c r="AL4" s="8"/>
      <c r="AM4" s="15"/>
      <c r="AN4" s="7"/>
      <c r="AT4" s="7"/>
      <c r="AU4" s="7"/>
      <c r="AV4" s="7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</row>
    <row r="5" spans="1:123" ht="15.95" customHeight="1" thickTop="1" thickBot="1">
      <c r="A5" s="167" t="s">
        <v>483</v>
      </c>
      <c r="B5" s="24"/>
      <c r="C5" s="24"/>
      <c r="D5" s="24"/>
      <c r="E5" s="24"/>
      <c r="F5" s="24"/>
      <c r="G5" s="24"/>
      <c r="H5" s="24"/>
      <c r="I5" s="184" t="s">
        <v>491</v>
      </c>
      <c r="J5" s="184"/>
      <c r="K5" s="185"/>
      <c r="L5" s="34">
        <f t="shared" ref="L5:L23" si="3">IF($A$15="M",N5,M5)</f>
        <v>1</v>
      </c>
      <c r="M5" s="34">
        <v>0</v>
      </c>
      <c r="N5" s="34">
        <v>1</v>
      </c>
      <c r="O5" s="34"/>
      <c r="P5" s="34" t="s">
        <v>29</v>
      </c>
      <c r="Q5" s="34"/>
      <c r="R5" s="34"/>
      <c r="S5" s="20"/>
      <c r="T5" s="21"/>
      <c r="U5" s="21" t="s">
        <v>30</v>
      </c>
      <c r="V5" s="21"/>
      <c r="W5" s="26" t="s">
        <v>31</v>
      </c>
      <c r="X5" s="26">
        <v>5.0811808118081201</v>
      </c>
      <c r="Y5" s="27">
        <v>0</v>
      </c>
      <c r="Z5" s="26">
        <f>2.71*$L$15</f>
        <v>2710</v>
      </c>
      <c r="AA5" s="28">
        <f>47.2416946053033*$L$9</f>
        <v>154.99243636910515</v>
      </c>
      <c r="AB5" s="29">
        <f t="shared" si="0"/>
        <v>0.82314798476430828</v>
      </c>
      <c r="AC5" s="29">
        <f t="shared" si="1"/>
        <v>0.58479532163742687</v>
      </c>
      <c r="AD5" s="30">
        <f t="shared" si="2"/>
        <v>13.770000000000005</v>
      </c>
      <c r="AE5" s="35" t="s">
        <v>32</v>
      </c>
      <c r="AF5" s="8"/>
      <c r="AG5" s="8"/>
      <c r="AH5" s="8"/>
      <c r="AI5" s="8"/>
      <c r="AJ5" s="8"/>
      <c r="AK5" s="8"/>
      <c r="AL5" s="8"/>
      <c r="AM5" s="15"/>
      <c r="AN5" s="7"/>
      <c r="AO5" s="7" t="str">
        <f>A7</f>
        <v>Well Name</v>
      </c>
      <c r="AP5" s="7"/>
      <c r="AQ5" s="7" t="str">
        <f>C7</f>
        <v>PCP Beaverlodge 11-36</v>
      </c>
      <c r="AR5" s="7"/>
      <c r="AS5" s="7"/>
      <c r="AT5" s="7"/>
      <c r="AU5" s="7"/>
      <c r="AV5" s="7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108"/>
      <c r="DK5" s="108"/>
      <c r="DL5" s="108"/>
      <c r="DM5" s="108"/>
      <c r="DN5" s="108"/>
      <c r="DO5" s="108"/>
      <c r="DP5" s="108"/>
      <c r="DQ5" s="108"/>
      <c r="DR5" s="108"/>
      <c r="DS5" s="108"/>
    </row>
    <row r="6" spans="1:123" ht="14.25" thickTop="1" thickBot="1">
      <c r="A6" s="168"/>
      <c r="B6" s="33"/>
      <c r="C6" s="33"/>
      <c r="D6" s="33"/>
      <c r="E6" s="33"/>
      <c r="F6" s="33"/>
      <c r="G6" s="33"/>
      <c r="H6" s="33"/>
      <c r="I6" s="33"/>
      <c r="J6" s="33"/>
      <c r="K6" s="40"/>
      <c r="L6" s="41">
        <f t="shared" si="3"/>
        <v>21.5</v>
      </c>
      <c r="M6" s="41">
        <v>6.7</v>
      </c>
      <c r="N6" s="41">
        <v>21.5</v>
      </c>
      <c r="O6" s="41">
        <f>C54</f>
        <v>1</v>
      </c>
      <c r="P6" s="41">
        <f>E54</f>
        <v>0</v>
      </c>
      <c r="Q6" s="41">
        <f>MIN(1,G54+$G$43)</f>
        <v>1</v>
      </c>
      <c r="R6" s="41">
        <f>I54</f>
        <v>0</v>
      </c>
      <c r="S6" s="20"/>
      <c r="T6" s="21"/>
      <c r="U6" s="21" t="s">
        <v>34</v>
      </c>
      <c r="V6" s="21"/>
      <c r="W6" s="26" t="s">
        <v>35</v>
      </c>
      <c r="X6" s="26">
        <v>3.1358885017421598</v>
      </c>
      <c r="Y6" s="27">
        <v>5.0000000000000001E-3</v>
      </c>
      <c r="Z6" s="26">
        <f>2.87*$L$15</f>
        <v>2870</v>
      </c>
      <c r="AA6" s="28">
        <f>43.8890582139592*$L$9</f>
        <v>143.99297314291061</v>
      </c>
      <c r="AB6" s="29">
        <f t="shared" si="0"/>
        <v>0.7706467475189348</v>
      </c>
      <c r="AC6" s="29">
        <f t="shared" si="1"/>
        <v>0.53208556149732622</v>
      </c>
      <c r="AD6" s="30">
        <f t="shared" si="2"/>
        <v>8.9999999999999982</v>
      </c>
      <c r="AE6" s="35"/>
      <c r="AF6" s="8"/>
      <c r="AG6" s="8"/>
      <c r="AH6" s="8"/>
      <c r="AI6" s="8"/>
      <c r="AJ6" s="8"/>
      <c r="AK6" s="8"/>
      <c r="AL6" s="8"/>
      <c r="AM6" s="15"/>
      <c r="AN6" s="7"/>
      <c r="AO6" s="7" t="str">
        <f>A8</f>
        <v>Field / Zone</v>
      </c>
      <c r="AP6" s="7"/>
      <c r="AQ6" s="7" t="str">
        <f>C8</f>
        <v>Beaverlodge / Halfway</v>
      </c>
      <c r="AR6" s="7"/>
      <c r="AS6" s="7">
        <f>E8</f>
        <v>0</v>
      </c>
      <c r="AT6" s="7"/>
      <c r="AU6" s="7"/>
      <c r="AV6" s="7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108"/>
      <c r="DK6" s="108"/>
      <c r="DL6" s="108"/>
      <c r="DM6" s="108"/>
      <c r="DN6" s="108"/>
      <c r="DO6" s="108"/>
      <c r="DP6" s="108"/>
      <c r="DQ6" s="108"/>
      <c r="DR6" s="108"/>
      <c r="DS6" s="108"/>
    </row>
    <row r="7" spans="1:123" ht="14.25" thickTop="1" thickBot="1">
      <c r="A7" s="152" t="s">
        <v>484</v>
      </c>
      <c r="B7" s="149"/>
      <c r="C7" s="150" t="s">
        <v>485</v>
      </c>
      <c r="D7" s="151"/>
      <c r="E7" s="164"/>
      <c r="F7" s="152"/>
      <c r="G7" s="153" t="s">
        <v>486</v>
      </c>
      <c r="H7" s="150" t="s">
        <v>33</v>
      </c>
      <c r="I7" s="151"/>
      <c r="J7" s="152"/>
      <c r="K7" s="40"/>
      <c r="L7" s="41">
        <f t="shared" si="3"/>
        <v>1.8</v>
      </c>
      <c r="M7" s="41">
        <v>1</v>
      </c>
      <c r="N7" s="41">
        <v>1.8</v>
      </c>
      <c r="O7" s="41">
        <f>C55</f>
        <v>0.4</v>
      </c>
      <c r="P7" s="41">
        <f>E55</f>
        <v>0.08</v>
      </c>
      <c r="Q7" s="41">
        <f>MIN(1,G55+$G$43)</f>
        <v>0.6</v>
      </c>
      <c r="R7" s="41">
        <f>I55</f>
        <v>1</v>
      </c>
      <c r="S7" s="20"/>
      <c r="T7" s="21"/>
      <c r="U7" s="21" t="s">
        <v>36</v>
      </c>
      <c r="V7" s="43"/>
      <c r="W7" s="26" t="s">
        <v>37</v>
      </c>
      <c r="X7" s="26">
        <v>5.0677966101694896</v>
      </c>
      <c r="Y7" s="27">
        <v>2E-3</v>
      </c>
      <c r="Z7" s="26">
        <f>2.95*$L$15</f>
        <v>2950</v>
      </c>
      <c r="AA7" s="28">
        <f>49.9847607436757*$L$9</f>
        <v>163.99199719053689</v>
      </c>
      <c r="AB7" s="29">
        <f t="shared" si="0"/>
        <v>0.70777045772474023</v>
      </c>
      <c r="AC7" s="29">
        <f t="shared" si="1"/>
        <v>0.51179487179487182</v>
      </c>
      <c r="AD7" s="30">
        <f t="shared" si="2"/>
        <v>14.949999999999994</v>
      </c>
      <c r="AE7" s="35" t="s">
        <v>38</v>
      </c>
      <c r="AF7" s="8"/>
      <c r="AG7" s="8"/>
      <c r="AH7" s="8"/>
      <c r="AI7" s="8"/>
      <c r="AJ7" s="8"/>
      <c r="AK7" s="8"/>
      <c r="AL7" s="8"/>
      <c r="AM7" s="15"/>
      <c r="AN7" s="7"/>
      <c r="AO7" s="7">
        <f>A9</f>
        <v>0</v>
      </c>
      <c r="AP7" s="7"/>
      <c r="AQ7" s="7">
        <f>C9</f>
        <v>0</v>
      </c>
      <c r="AR7" s="7"/>
      <c r="AS7" s="7"/>
      <c r="AT7" s="7"/>
      <c r="AU7" s="7"/>
      <c r="AV7" s="7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108"/>
      <c r="DK7" s="108"/>
      <c r="DL7" s="108"/>
      <c r="DM7" s="108"/>
      <c r="DN7" s="108"/>
      <c r="DO7" s="108"/>
      <c r="DP7" s="108"/>
      <c r="DQ7" s="108"/>
      <c r="DR7" s="108"/>
      <c r="DS7" s="108"/>
    </row>
    <row r="8" spans="1:123" ht="14.25" thickTop="1" thickBot="1">
      <c r="A8" s="152" t="s">
        <v>487</v>
      </c>
      <c r="B8" s="149"/>
      <c r="C8" s="159" t="s">
        <v>488</v>
      </c>
      <c r="D8" s="160"/>
      <c r="E8" s="161"/>
      <c r="F8" s="158"/>
      <c r="G8" s="153" t="s">
        <v>489</v>
      </c>
      <c r="H8" s="162" t="s">
        <v>490</v>
      </c>
      <c r="I8" s="163"/>
      <c r="J8" s="152"/>
      <c r="K8" s="40"/>
      <c r="L8" s="41">
        <f t="shared" si="3"/>
        <v>32</v>
      </c>
      <c r="M8" s="41">
        <v>0</v>
      </c>
      <c r="N8" s="41">
        <v>32</v>
      </c>
      <c r="O8" s="41">
        <f>C56</f>
        <v>0.25</v>
      </c>
      <c r="P8" s="41">
        <f>E56</f>
        <v>0.1</v>
      </c>
      <c r="Q8" s="41">
        <f>MIN(1,G56+$G$43)</f>
        <v>0.3</v>
      </c>
      <c r="R8" s="41">
        <f>I56</f>
        <v>2</v>
      </c>
      <c r="S8" s="20"/>
      <c r="T8" s="21"/>
      <c r="U8" s="21" t="s">
        <v>39</v>
      </c>
      <c r="V8" s="25"/>
      <c r="W8" s="26" t="s">
        <v>40</v>
      </c>
      <c r="X8" s="26">
        <v>4.0255319148936204</v>
      </c>
      <c r="Y8" s="27">
        <v>0.50700000000000001</v>
      </c>
      <c r="Z8" s="26">
        <f>2.35*$L$15</f>
        <v>2350</v>
      </c>
      <c r="AA8" s="28">
        <f>52.4230417555623*$L$9</f>
        <v>171.99160680958744</v>
      </c>
      <c r="AB8" s="29">
        <f t="shared" si="0"/>
        <v>1.0042737647736126</v>
      </c>
      <c r="AC8" s="29">
        <f t="shared" si="1"/>
        <v>0.36518518518518517</v>
      </c>
      <c r="AD8" s="30">
        <f t="shared" si="2"/>
        <v>9.460000000000008</v>
      </c>
      <c r="AE8" s="35" t="s">
        <v>41</v>
      </c>
      <c r="AF8" s="8"/>
      <c r="AG8" s="8"/>
      <c r="AH8" s="8"/>
      <c r="AI8" s="8"/>
      <c r="AJ8" s="8"/>
      <c r="AK8" s="8"/>
      <c r="AL8" s="8"/>
      <c r="AM8" s="15"/>
      <c r="AN8" s="7"/>
      <c r="AO8" s="7">
        <f>A10</f>
        <v>0</v>
      </c>
      <c r="AP8" s="7"/>
      <c r="AQ8" s="7">
        <f>C10</f>
        <v>0</v>
      </c>
      <c r="AR8" s="7"/>
      <c r="AS8" s="7"/>
      <c r="AT8" s="7"/>
      <c r="AU8" s="7"/>
      <c r="AV8" s="7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108"/>
      <c r="DK8" s="108"/>
      <c r="DL8" s="108"/>
      <c r="DM8" s="108"/>
      <c r="DN8" s="108"/>
      <c r="DO8" s="108"/>
      <c r="DP8" s="108"/>
      <c r="DQ8" s="108"/>
      <c r="DR8" s="108"/>
      <c r="DS8" s="108"/>
    </row>
    <row r="9" spans="1:123" ht="14.25" thickTop="1" thickBot="1">
      <c r="A9" s="169"/>
      <c r="B9" s="157"/>
      <c r="C9" s="155"/>
      <c r="D9" s="155"/>
      <c r="E9" s="155"/>
      <c r="F9" s="157"/>
      <c r="G9" s="157"/>
      <c r="H9" s="157"/>
      <c r="I9" s="155"/>
      <c r="J9" s="155"/>
      <c r="K9" s="40"/>
      <c r="L9" s="41">
        <f t="shared" si="3"/>
        <v>3.2808398950131199</v>
      </c>
      <c r="M9" s="41">
        <v>1</v>
      </c>
      <c r="N9" s="41">
        <v>3.2808398950131199</v>
      </c>
      <c r="O9" s="46">
        <v>0</v>
      </c>
      <c r="P9" s="41" t="s">
        <v>42</v>
      </c>
      <c r="Q9" s="47">
        <v>99999</v>
      </c>
      <c r="R9" s="41" t="s">
        <v>43</v>
      </c>
      <c r="S9" s="20"/>
      <c r="T9" s="21" t="s">
        <v>44</v>
      </c>
      <c r="U9" s="21" t="s">
        <v>45</v>
      </c>
      <c r="V9" s="43"/>
      <c r="W9" s="26" t="s">
        <v>46</v>
      </c>
      <c r="X9" s="26">
        <v>2.3992932862190801</v>
      </c>
      <c r="Y9" s="27">
        <v>0.16500000000000001</v>
      </c>
      <c r="Z9" s="26">
        <f>2.83*$L$15</f>
        <v>2830</v>
      </c>
      <c r="AA9" s="28">
        <f>47.2416946053033*$L$9</f>
        <v>154.99243636910515</v>
      </c>
      <c r="AB9" s="29">
        <f t="shared" si="0"/>
        <v>0.76917106773058308</v>
      </c>
      <c r="AC9" s="29">
        <f t="shared" si="1"/>
        <v>0.45628415300546449</v>
      </c>
      <c r="AD9" s="30">
        <f t="shared" si="2"/>
        <v>6.7899999999999965</v>
      </c>
      <c r="AE9" s="35" t="s">
        <v>47</v>
      </c>
      <c r="AF9" s="8"/>
      <c r="AG9" s="8"/>
      <c r="AH9" s="8"/>
      <c r="AI9" s="8"/>
      <c r="AJ9" s="8"/>
      <c r="AK9" s="8"/>
      <c r="AL9" s="8"/>
      <c r="AM9" s="15"/>
      <c r="AN9" s="7"/>
      <c r="AO9" s="7" t="e">
        <f>#REF!</f>
        <v>#REF!</v>
      </c>
      <c r="AP9" s="7"/>
      <c r="AQ9" s="7" t="e">
        <f>#REF!</f>
        <v>#REF!</v>
      </c>
      <c r="AR9" s="7"/>
      <c r="AS9" s="7"/>
      <c r="AT9" s="7"/>
      <c r="AU9" s="7"/>
      <c r="AV9" s="7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108"/>
      <c r="DK9" s="108"/>
      <c r="DL9" s="108"/>
      <c r="DM9" s="108"/>
      <c r="DN9" s="108"/>
      <c r="DO9" s="108"/>
      <c r="DP9" s="108"/>
      <c r="DQ9" s="108"/>
      <c r="DR9" s="108"/>
      <c r="DS9" s="108"/>
    </row>
    <row r="10" spans="1:123" ht="13.5" thickBot="1">
      <c r="A10" s="169"/>
      <c r="B10" s="157"/>
      <c r="C10" s="157"/>
      <c r="D10" s="157"/>
      <c r="E10" s="157"/>
      <c r="F10" s="157"/>
      <c r="G10" s="157"/>
      <c r="H10" s="157"/>
      <c r="I10" s="155"/>
      <c r="J10" s="155"/>
      <c r="K10" s="40"/>
      <c r="L10" s="41">
        <f t="shared" si="3"/>
        <v>0.30480000000000002</v>
      </c>
      <c r="M10" s="41">
        <v>1</v>
      </c>
      <c r="N10" s="41">
        <v>0.30480000000000002</v>
      </c>
      <c r="O10" s="41">
        <v>73</v>
      </c>
      <c r="P10" s="41" t="s">
        <v>48</v>
      </c>
      <c r="Q10" s="41"/>
      <c r="R10" s="41"/>
      <c r="S10" s="20"/>
      <c r="T10" s="21"/>
      <c r="U10" s="21" t="s">
        <v>49</v>
      </c>
      <c r="V10" s="43"/>
      <c r="W10" s="26" t="s">
        <v>50</v>
      </c>
      <c r="X10" s="26">
        <v>8.6031250000000004</v>
      </c>
      <c r="Y10" s="27">
        <v>0.22500000000000001</v>
      </c>
      <c r="Z10" s="26">
        <f>3.2*$L$15</f>
        <v>3200</v>
      </c>
      <c r="AA10" s="28">
        <f>55.4708930204206*$L$9</f>
        <v>181.99111883340072</v>
      </c>
      <c r="AB10" s="29">
        <f t="shared" si="0"/>
        <v>0.60240503172536108</v>
      </c>
      <c r="AC10" s="29">
        <f t="shared" si="1"/>
        <v>0.35227272727272729</v>
      </c>
      <c r="AD10" s="30">
        <f t="shared" si="2"/>
        <v>27.53</v>
      </c>
      <c r="AE10" s="35" t="s">
        <v>51</v>
      </c>
      <c r="AF10" s="8"/>
      <c r="AG10" s="8"/>
      <c r="AH10" s="8"/>
      <c r="AI10" s="8"/>
      <c r="AJ10" s="8"/>
      <c r="AK10" s="8"/>
      <c r="AL10" s="8"/>
      <c r="AM10" s="15"/>
      <c r="AN10" s="7"/>
      <c r="AO10" s="7">
        <f t="shared" ref="AO10" si="4">A11</f>
        <v>0</v>
      </c>
      <c r="AP10" s="7"/>
      <c r="AQ10" s="7">
        <f t="shared" ref="AQ10" si="5">C11</f>
        <v>0</v>
      </c>
      <c r="AR10" s="7"/>
      <c r="AS10" s="7"/>
      <c r="AT10" s="7"/>
      <c r="AU10" s="7"/>
      <c r="AV10" s="7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</row>
    <row r="11" spans="1:123" ht="13.5" thickBot="1">
      <c r="A11" s="169"/>
      <c r="B11" s="157"/>
      <c r="C11" s="157"/>
      <c r="D11" s="157"/>
      <c r="E11" s="157"/>
      <c r="F11" s="157"/>
      <c r="G11" s="157"/>
      <c r="H11" s="157"/>
      <c r="I11" s="155"/>
      <c r="J11" s="37"/>
      <c r="K11" s="40"/>
      <c r="L11" s="41">
        <f t="shared" si="3"/>
        <v>2650</v>
      </c>
      <c r="M11" s="41">
        <v>2.65</v>
      </c>
      <c r="N11" s="47">
        <v>2650</v>
      </c>
      <c r="O11" s="41"/>
      <c r="P11" s="41"/>
      <c r="Q11" s="41"/>
      <c r="R11" s="41"/>
      <c r="S11" s="20"/>
      <c r="T11" s="21" t="s">
        <v>55</v>
      </c>
      <c r="U11" s="21" t="s">
        <v>56</v>
      </c>
      <c r="V11" s="43"/>
      <c r="W11" s="26" t="s">
        <v>57</v>
      </c>
      <c r="X11" s="26">
        <v>1.48484848484848</v>
      </c>
      <c r="Y11" s="27">
        <v>0.49099999999999999</v>
      </c>
      <c r="Z11" s="26">
        <f>2.64*$L$15</f>
        <v>2640</v>
      </c>
      <c r="AA11" s="28">
        <f>64.3096616885096*$L$9</f>
        <v>210.98970370245911</v>
      </c>
      <c r="AB11" s="29">
        <f t="shared" si="0"/>
        <v>0.75420937994811221</v>
      </c>
      <c r="AC11" s="29">
        <f t="shared" si="1"/>
        <v>0.31036585365853658</v>
      </c>
      <c r="AD11" s="30">
        <f t="shared" si="2"/>
        <v>3.9199999999999871</v>
      </c>
      <c r="AE11" s="35" t="s">
        <v>58</v>
      </c>
      <c r="AF11" s="8"/>
      <c r="AG11" s="8"/>
      <c r="AH11" s="8"/>
      <c r="AI11" s="8"/>
      <c r="AJ11" s="8"/>
      <c r="AK11" s="8"/>
      <c r="AL11" s="8"/>
      <c r="AM11" s="15"/>
      <c r="AN11" s="7"/>
      <c r="AO11" s="7"/>
      <c r="AP11" s="7"/>
      <c r="AQ11" s="7"/>
      <c r="AR11" s="7"/>
      <c r="AS11" s="7"/>
      <c r="AT11" s="7"/>
      <c r="AU11" s="7"/>
      <c r="AV11" s="7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108"/>
      <c r="DK11" s="108"/>
      <c r="DL11" s="108"/>
      <c r="DM11" s="108"/>
      <c r="DN11" s="108"/>
      <c r="DO11" s="108"/>
      <c r="DP11" s="108"/>
      <c r="DQ11" s="108"/>
      <c r="DR11" s="108"/>
      <c r="DS11" s="108"/>
    </row>
    <row r="12" spans="1:123" ht="13.5" thickBot="1">
      <c r="A12" s="169"/>
      <c r="B12" s="37"/>
      <c r="C12" s="156"/>
      <c r="D12" s="155"/>
      <c r="E12" s="37"/>
      <c r="F12" s="37"/>
      <c r="G12" s="37"/>
      <c r="H12" s="155"/>
      <c r="I12" s="49"/>
      <c r="J12" s="37"/>
      <c r="K12" s="40"/>
      <c r="L12" s="41">
        <f t="shared" si="3"/>
        <v>2710</v>
      </c>
      <c r="M12" s="41">
        <v>2.71</v>
      </c>
      <c r="N12" s="47">
        <v>2710</v>
      </c>
      <c r="O12" s="41"/>
      <c r="P12" s="41"/>
      <c r="Q12" s="41"/>
      <c r="R12" s="41"/>
      <c r="S12" s="20"/>
      <c r="T12" s="21"/>
      <c r="U12" s="21" t="s">
        <v>59</v>
      </c>
      <c r="V12" s="43"/>
      <c r="W12" s="26" t="s">
        <v>60</v>
      </c>
      <c r="X12" s="26">
        <v>4.7809187279151901</v>
      </c>
      <c r="Y12" s="27">
        <v>0.17499999999999999</v>
      </c>
      <c r="Z12" s="26">
        <f>2.83*$L$15</f>
        <v>2830</v>
      </c>
      <c r="AA12" s="28">
        <f>55.4708930204206*$L$9</f>
        <v>181.99111883340072</v>
      </c>
      <c r="AB12" s="29">
        <f t="shared" si="0"/>
        <v>0.7242027703802153</v>
      </c>
      <c r="AC12" s="29">
        <f t="shared" si="1"/>
        <v>0.45081967213114754</v>
      </c>
      <c r="AD12" s="30">
        <f t="shared" si="2"/>
        <v>13.529999999999987</v>
      </c>
      <c r="AE12" s="50" t="s">
        <v>61</v>
      </c>
      <c r="AF12" s="51"/>
      <c r="AG12" s="51"/>
      <c r="AH12" s="51"/>
      <c r="AI12" s="51"/>
      <c r="AJ12" s="51"/>
      <c r="AK12" s="51"/>
      <c r="AL12" s="51"/>
      <c r="AM12" s="52"/>
      <c r="AN12" s="7"/>
      <c r="AO12" s="7" t="str">
        <f>G7</f>
        <v xml:space="preserve">Analyst  </v>
      </c>
      <c r="AP12" s="45"/>
      <c r="AQ12" s="7" t="str">
        <f>H7</f>
        <v>E. R. Crain, P.Eng.</v>
      </c>
      <c r="AR12" s="7"/>
      <c r="AS12" s="7"/>
      <c r="AT12" s="7"/>
      <c r="AU12" s="7"/>
      <c r="AV12" s="7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108"/>
      <c r="DK12" s="108"/>
      <c r="DL12" s="108"/>
      <c r="DM12" s="108"/>
      <c r="DN12" s="108"/>
      <c r="DO12" s="108"/>
      <c r="DP12" s="108"/>
      <c r="DQ12" s="108"/>
      <c r="DR12" s="108"/>
      <c r="DS12" s="108"/>
    </row>
    <row r="13" spans="1:123" ht="13.5" thickBot="1">
      <c r="A13" s="167" t="s">
        <v>482</v>
      </c>
      <c r="B13" s="110"/>
      <c r="C13" s="111"/>
      <c r="D13" s="111"/>
      <c r="E13" s="111"/>
      <c r="F13" s="111"/>
      <c r="G13" s="111"/>
      <c r="H13" s="111"/>
      <c r="I13" s="111"/>
      <c r="J13" s="111"/>
      <c r="K13" s="40"/>
      <c r="L13" s="41">
        <f t="shared" si="3"/>
        <v>1</v>
      </c>
      <c r="M13" s="41">
        <v>0.159</v>
      </c>
      <c r="N13" s="41">
        <v>1</v>
      </c>
      <c r="O13" s="41" t="s">
        <v>62</v>
      </c>
      <c r="P13" s="41"/>
      <c r="Q13" s="41"/>
      <c r="R13" s="41"/>
      <c r="S13" s="20"/>
      <c r="T13" s="21"/>
      <c r="U13" s="21" t="s">
        <v>63</v>
      </c>
      <c r="V13" s="25"/>
      <c r="W13" s="26" t="s">
        <v>64</v>
      </c>
      <c r="X13" s="26">
        <v>3.02166064981949</v>
      </c>
      <c r="Y13" s="27">
        <v>0.158</v>
      </c>
      <c r="Z13" s="26">
        <f>2.77*$L$15</f>
        <v>2770</v>
      </c>
      <c r="AA13" s="28">
        <f>64.6144468149954*$L$9</f>
        <v>211.98965490484034</v>
      </c>
      <c r="AB13" s="29">
        <f t="shared" si="0"/>
        <v>0.69709352081923504</v>
      </c>
      <c r="AC13" s="29">
        <f t="shared" si="1"/>
        <v>0.47570621468926549</v>
      </c>
      <c r="AD13" s="30">
        <f t="shared" si="2"/>
        <v>8.3699999999999868</v>
      </c>
      <c r="AE13" s="53" t="s">
        <v>65</v>
      </c>
      <c r="AF13" s="54"/>
      <c r="AG13" s="54"/>
      <c r="AH13" s="54"/>
      <c r="AI13" s="54"/>
      <c r="AJ13" s="54"/>
      <c r="AK13" s="54"/>
      <c r="AL13" s="54"/>
      <c r="AM13" s="52"/>
      <c r="AN13" s="7"/>
      <c r="AO13" s="7" t="str">
        <f>G8</f>
        <v xml:space="preserve">Date  </v>
      </c>
      <c r="AP13" s="45"/>
      <c r="AQ13" s="55" t="str">
        <f>H8</f>
        <v xml:space="preserve"> 2018-09-27</v>
      </c>
      <c r="AR13" s="55">
        <f>I8</f>
        <v>0</v>
      </c>
      <c r="AS13" s="7"/>
      <c r="AT13" s="7"/>
      <c r="AU13" s="7"/>
      <c r="AV13" s="7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</row>
    <row r="14" spans="1:123" ht="13.5" thickBot="1">
      <c r="A14" s="169" t="s">
        <v>52</v>
      </c>
      <c r="D14" s="33"/>
      <c r="E14" s="33"/>
      <c r="F14" s="33"/>
      <c r="G14" s="33"/>
      <c r="H14" s="33"/>
      <c r="I14" s="33"/>
      <c r="J14" s="33"/>
      <c r="K14" s="40"/>
      <c r="L14" s="41">
        <f t="shared" si="3"/>
        <v>1</v>
      </c>
      <c r="M14" s="41">
        <v>2.8299999999999999E-2</v>
      </c>
      <c r="N14" s="41">
        <v>1</v>
      </c>
      <c r="O14" s="41"/>
      <c r="P14" s="41"/>
      <c r="Q14" s="41"/>
      <c r="R14" s="41"/>
      <c r="S14" s="20"/>
      <c r="T14" s="21"/>
      <c r="U14" s="21" t="s">
        <v>66</v>
      </c>
      <c r="V14" s="25"/>
      <c r="W14" s="26" t="s">
        <v>67</v>
      </c>
      <c r="X14" s="26">
        <v>4.7735191637630701</v>
      </c>
      <c r="Y14" s="27">
        <v>0.42799999999999999</v>
      </c>
      <c r="Z14" s="26">
        <f>2.87*$L$15</f>
        <v>2870</v>
      </c>
      <c r="AA14" s="28">
        <f>64.6144468149954*$L$9</f>
        <v>211.98965490484034</v>
      </c>
      <c r="AB14" s="29">
        <f t="shared" si="0"/>
        <v>0.65981579243317967</v>
      </c>
      <c r="AC14" s="29">
        <f t="shared" si="1"/>
        <v>0.30588235294117649</v>
      </c>
      <c r="AD14" s="30">
        <f t="shared" si="2"/>
        <v>13.700000000000012</v>
      </c>
      <c r="AE14" s="53" t="s">
        <v>68</v>
      </c>
      <c r="AF14" s="54"/>
      <c r="AG14" s="54"/>
      <c r="AH14" s="54"/>
      <c r="AI14" s="54"/>
      <c r="AJ14" s="54"/>
      <c r="AK14" s="54"/>
      <c r="AL14" s="54"/>
      <c r="AM14" s="52"/>
      <c r="AN14" s="7"/>
      <c r="AO14" s="7">
        <f>G9</f>
        <v>0</v>
      </c>
      <c r="AP14" s="45"/>
      <c r="AQ14" s="7">
        <f>H9</f>
        <v>0</v>
      </c>
      <c r="AR14" s="7"/>
      <c r="AS14" s="7"/>
      <c r="AT14" s="7"/>
      <c r="AU14" s="7"/>
      <c r="AV14" s="7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</row>
    <row r="15" spans="1:123" ht="14.25" thickTop="1" thickBot="1">
      <c r="A15" s="154" t="s">
        <v>53</v>
      </c>
      <c r="B15" s="56" t="s">
        <v>69</v>
      </c>
      <c r="C15" s="56" t="s">
        <v>70</v>
      </c>
      <c r="D15" s="56" t="s">
        <v>71</v>
      </c>
      <c r="E15" s="56" t="s">
        <v>474</v>
      </c>
      <c r="F15" s="56" t="s">
        <v>72</v>
      </c>
      <c r="G15" s="56" t="s">
        <v>73</v>
      </c>
      <c r="H15" s="56" t="s">
        <v>74</v>
      </c>
      <c r="I15" s="37"/>
      <c r="J15" s="37"/>
      <c r="K15" s="40"/>
      <c r="L15" s="41">
        <f t="shared" si="3"/>
        <v>1000</v>
      </c>
      <c r="M15" s="41">
        <v>1</v>
      </c>
      <c r="N15" s="47">
        <v>1000</v>
      </c>
      <c r="O15" s="41"/>
      <c r="P15" s="41"/>
      <c r="Q15" s="41"/>
      <c r="R15" s="41"/>
      <c r="S15" s="20"/>
      <c r="T15" s="21"/>
      <c r="U15" s="21" t="s">
        <v>75</v>
      </c>
      <c r="V15" s="21"/>
      <c r="W15" s="26" t="s">
        <v>76</v>
      </c>
      <c r="X15" s="26">
        <v>1.63740458015267</v>
      </c>
      <c r="Y15" s="27">
        <v>0.115</v>
      </c>
      <c r="Z15" s="26">
        <f>2.62*$L$15</f>
        <v>2620</v>
      </c>
      <c r="AA15" s="28">
        <f>64.6144468149954*$L$9</f>
        <v>211.98965490484034</v>
      </c>
      <c r="AB15" s="29">
        <f t="shared" si="0"/>
        <v>0.76163921719138639</v>
      </c>
      <c r="AC15" s="29">
        <f t="shared" si="1"/>
        <v>0.54629629629629639</v>
      </c>
      <c r="AD15" s="30">
        <f t="shared" si="2"/>
        <v>4.2899999999999956</v>
      </c>
      <c r="AE15" s="57"/>
      <c r="AF15" s="58"/>
      <c r="AG15" s="58"/>
      <c r="AH15" s="58"/>
      <c r="AI15" s="58"/>
      <c r="AJ15" s="58"/>
      <c r="AK15" s="58"/>
      <c r="AL15" s="58"/>
      <c r="AM15" s="15"/>
      <c r="AN15" s="7"/>
      <c r="AO15" s="7"/>
      <c r="AP15" s="45"/>
      <c r="AQ15" s="7">
        <f>H10</f>
        <v>0</v>
      </c>
      <c r="AR15" s="7"/>
      <c r="AS15" s="7"/>
      <c r="AT15" s="7"/>
      <c r="AU15" s="7"/>
      <c r="AV15" s="7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108"/>
      <c r="DK15" s="108"/>
      <c r="DL15" s="108"/>
      <c r="DM15" s="108"/>
      <c r="DN15" s="108"/>
      <c r="DO15" s="108"/>
      <c r="DP15" s="108"/>
      <c r="DQ15" s="108"/>
      <c r="DR15" s="108"/>
      <c r="DS15" s="108"/>
    </row>
    <row r="16" spans="1:123" ht="14.25" thickTop="1" thickBot="1">
      <c r="A16" s="169" t="s">
        <v>54</v>
      </c>
      <c r="B16" s="56" t="s">
        <v>77</v>
      </c>
      <c r="C16" s="56" t="s">
        <v>23</v>
      </c>
      <c r="D16" s="37" t="str">
        <f>"      "&amp;$L$28</f>
        <v xml:space="preserve">      Kg/m3</v>
      </c>
      <c r="E16" s="37" t="str">
        <f>"        "&amp;$L$25</f>
        <v xml:space="preserve">        us/m</v>
      </c>
      <c r="F16" s="56" t="s">
        <v>78</v>
      </c>
      <c r="G16" s="56" t="s">
        <v>79</v>
      </c>
      <c r="H16" s="56" t="s">
        <v>80</v>
      </c>
      <c r="I16" s="37"/>
      <c r="J16" s="37"/>
      <c r="K16" s="40"/>
      <c r="L16" s="41">
        <f t="shared" si="3"/>
        <v>2149</v>
      </c>
      <c r="M16" s="41">
        <v>162.6</v>
      </c>
      <c r="N16" s="47">
        <v>2149</v>
      </c>
      <c r="O16" s="41"/>
      <c r="P16" s="41"/>
      <c r="Q16" s="41"/>
      <c r="R16" s="41"/>
      <c r="S16" s="20"/>
      <c r="T16" s="21"/>
      <c r="U16" s="21" t="s">
        <v>81</v>
      </c>
      <c r="V16" s="25"/>
      <c r="W16" s="26" t="s">
        <v>82</v>
      </c>
      <c r="X16" s="26">
        <v>261.02941176470603</v>
      </c>
      <c r="Y16" s="27">
        <v>2E-3</v>
      </c>
      <c r="Z16" s="26">
        <f>4.08*$L$15</f>
        <v>4080</v>
      </c>
      <c r="AA16" s="28">
        <f>69.7957939652545*$L$9</f>
        <v>228.98882534532294</v>
      </c>
      <c r="AB16" s="29">
        <f t="shared" si="0"/>
        <v>0.38377988972319971</v>
      </c>
      <c r="AC16" s="29">
        <f t="shared" si="1"/>
        <v>0.324025974025974</v>
      </c>
      <c r="AD16" s="30">
        <f t="shared" si="2"/>
        <v>1065.0000000000007</v>
      </c>
      <c r="AE16" s="35" t="s">
        <v>83</v>
      </c>
      <c r="AF16" s="8"/>
      <c r="AG16" s="8"/>
      <c r="AH16" s="8"/>
      <c r="AI16" s="8"/>
      <c r="AJ16" s="8"/>
      <c r="AK16" s="8"/>
      <c r="AL16" s="8"/>
      <c r="AM16" s="15"/>
      <c r="AN16" s="7"/>
      <c r="AO16" s="7"/>
      <c r="AP16" s="45"/>
      <c r="AQ16" s="7"/>
      <c r="AR16" s="7"/>
      <c r="AS16" s="7"/>
      <c r="AT16" s="7"/>
      <c r="AU16" s="7"/>
      <c r="AV16" s="7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108"/>
      <c r="DK16" s="108"/>
      <c r="DL16" s="108"/>
      <c r="DM16" s="108"/>
      <c r="DN16" s="108"/>
      <c r="DO16" s="108"/>
      <c r="DP16" s="108"/>
      <c r="DQ16" s="108"/>
      <c r="DR16" s="108"/>
      <c r="DS16" s="108"/>
    </row>
    <row r="17" spans="1:123" ht="13.5" thickBot="1">
      <c r="A17" s="170"/>
      <c r="B17" s="56"/>
      <c r="C17" s="56"/>
      <c r="D17" s="37"/>
      <c r="E17" s="37"/>
      <c r="F17" s="56"/>
      <c r="G17" s="56"/>
      <c r="H17" s="56"/>
      <c r="I17" s="37"/>
      <c r="J17" s="37"/>
      <c r="K17" s="40"/>
      <c r="L17" s="41">
        <f t="shared" si="3"/>
        <v>2.149</v>
      </c>
      <c r="M17" s="41">
        <v>162.6</v>
      </c>
      <c r="N17" s="41">
        <v>2.149</v>
      </c>
      <c r="O17" s="41"/>
      <c r="P17" s="41"/>
      <c r="Q17" s="41"/>
      <c r="R17" s="41"/>
      <c r="S17" s="20"/>
      <c r="T17" s="21" t="s">
        <v>84</v>
      </c>
      <c r="U17" s="21" t="s">
        <v>85</v>
      </c>
      <c r="V17" s="21"/>
      <c r="W17" s="26" t="s">
        <v>86</v>
      </c>
      <c r="X17" s="26">
        <v>1.68604651162791</v>
      </c>
      <c r="Y17" s="27">
        <v>-1.2999999999999999E-2</v>
      </c>
      <c r="Z17" s="26">
        <f>2.58*$L$15</f>
        <v>2580</v>
      </c>
      <c r="AA17" s="28">
        <f>47.2416946053033*$L$9</f>
        <v>154.99243636910515</v>
      </c>
      <c r="AB17" s="29">
        <f t="shared" si="0"/>
        <v>0.89087535059934642</v>
      </c>
      <c r="AC17" s="29">
        <f t="shared" si="1"/>
        <v>0.64113924050632898</v>
      </c>
      <c r="AD17" s="30">
        <f t="shared" si="2"/>
        <v>4.3500000000000076</v>
      </c>
      <c r="AE17" s="35" t="s">
        <v>87</v>
      </c>
      <c r="AF17" s="8"/>
      <c r="AG17" s="8"/>
      <c r="AH17" s="8"/>
      <c r="AI17" s="8"/>
      <c r="AJ17" s="8"/>
      <c r="AK17" s="8"/>
      <c r="AL17" s="8"/>
      <c r="AM17" s="15"/>
      <c r="AN17" s="7"/>
      <c r="AO17" s="7"/>
      <c r="AP17" s="7"/>
      <c r="AQ17" s="7"/>
      <c r="AR17" s="7"/>
      <c r="AS17" s="7"/>
      <c r="AT17" s="7"/>
      <c r="AU17" s="7"/>
      <c r="AV17" s="7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108"/>
      <c r="DK17" s="108"/>
      <c r="DL17" s="108"/>
      <c r="DM17" s="108"/>
      <c r="DN17" s="108"/>
      <c r="DO17" s="108"/>
      <c r="DP17" s="108"/>
      <c r="DQ17" s="108"/>
      <c r="DR17" s="108"/>
      <c r="DS17" s="108"/>
    </row>
    <row r="18" spans="1:123" ht="13.5" thickBot="1">
      <c r="A18" s="170" t="s">
        <v>88</v>
      </c>
      <c r="B18" s="56" t="s">
        <v>89</v>
      </c>
      <c r="C18" s="56" t="s">
        <v>90</v>
      </c>
      <c r="D18" s="56" t="s">
        <v>91</v>
      </c>
      <c r="E18" s="56" t="s">
        <v>475</v>
      </c>
      <c r="F18" s="56" t="s">
        <v>92</v>
      </c>
      <c r="G18" s="56" t="s">
        <v>93</v>
      </c>
      <c r="H18" s="37"/>
      <c r="I18" s="37"/>
      <c r="J18" s="37"/>
      <c r="K18" s="40"/>
      <c r="L18" s="41">
        <f t="shared" si="3"/>
        <v>273</v>
      </c>
      <c r="M18" s="47">
        <v>460</v>
      </c>
      <c r="N18" s="47">
        <v>273</v>
      </c>
      <c r="O18" s="41"/>
      <c r="P18" s="41"/>
      <c r="Q18" s="41"/>
      <c r="R18" s="41"/>
      <c r="S18" s="20"/>
      <c r="T18" s="21"/>
      <c r="U18" s="21" t="s">
        <v>94</v>
      </c>
      <c r="V18" s="21"/>
      <c r="W18" s="26" t="s">
        <v>95</v>
      </c>
      <c r="X18" s="26">
        <v>3.1277372262773699</v>
      </c>
      <c r="Y18" s="27">
        <v>-1.7999999999999999E-2</v>
      </c>
      <c r="Z18" s="26">
        <f>2.74*$L$15</f>
        <v>2740</v>
      </c>
      <c r="AA18" s="28">
        <f>45.1081987199025*$L$9</f>
        <v>147.99277795243586</v>
      </c>
      <c r="AB18" s="29">
        <f t="shared" si="0"/>
        <v>0.82121724873619262</v>
      </c>
      <c r="AC18" s="29">
        <f t="shared" si="1"/>
        <v>0.5850574712643678</v>
      </c>
      <c r="AD18" s="30">
        <f t="shared" si="2"/>
        <v>8.569999999999995</v>
      </c>
      <c r="AE18" s="35"/>
      <c r="AF18" s="8"/>
      <c r="AG18" s="8"/>
      <c r="AH18" s="8"/>
      <c r="AI18" s="8"/>
      <c r="AJ18" s="8"/>
      <c r="AK18" s="8"/>
      <c r="AL18" s="8"/>
      <c r="AM18" s="15"/>
      <c r="AN18" s="7"/>
      <c r="AO18" s="7"/>
      <c r="AP18" s="7"/>
      <c r="AQ18" s="7"/>
      <c r="AR18" s="7"/>
      <c r="AS18" s="7"/>
      <c r="AT18" s="7"/>
      <c r="AU18" s="7"/>
      <c r="AV18" s="7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108"/>
      <c r="DK18" s="108"/>
      <c r="DL18" s="108"/>
      <c r="DM18" s="108"/>
      <c r="DN18" s="108"/>
      <c r="DO18" s="108"/>
      <c r="DP18" s="108"/>
      <c r="DQ18" s="108"/>
      <c r="DR18" s="108"/>
      <c r="DS18" s="108"/>
    </row>
    <row r="19" spans="1:123" ht="13.5" thickBot="1">
      <c r="A19" s="169"/>
      <c r="B19" s="59">
        <v>200</v>
      </c>
      <c r="C19" s="60">
        <f>$C$31</f>
        <v>5.0000000000000001E-3</v>
      </c>
      <c r="D19" s="61">
        <f>(2.71*$L$15+0.19*(D31-2.71*$L$15))</f>
        <v>2740.4</v>
      </c>
      <c r="E19" s="61">
        <f>(47.3*$L$9+0.19*(E31-47.3*$L$9))</f>
        <v>153.12664041994734</v>
      </c>
      <c r="F19" s="62" t="s">
        <v>96</v>
      </c>
      <c r="G19" s="63">
        <v>-50</v>
      </c>
      <c r="H19" s="64"/>
      <c r="I19" s="65"/>
      <c r="J19" s="65"/>
      <c r="K19" s="40"/>
      <c r="L19" s="41">
        <f t="shared" si="3"/>
        <v>5.354E-4</v>
      </c>
      <c r="M19" s="41">
        <v>7.0800000000000004E-3</v>
      </c>
      <c r="N19" s="41">
        <v>5.354E-4</v>
      </c>
      <c r="O19" s="41"/>
      <c r="P19" s="41"/>
      <c r="Q19" s="41"/>
      <c r="R19" s="41"/>
      <c r="S19" s="20"/>
      <c r="T19" s="21" t="s">
        <v>97</v>
      </c>
      <c r="U19" s="21" t="s">
        <v>98</v>
      </c>
      <c r="V19" s="43"/>
      <c r="W19" s="26" t="s">
        <v>99</v>
      </c>
      <c r="X19" s="26">
        <v>2.8700787401574801</v>
      </c>
      <c r="Y19" s="27">
        <v>-1.0999999999999999E-2</v>
      </c>
      <c r="Z19" s="26">
        <f>2.54*$L$15</f>
        <v>2540</v>
      </c>
      <c r="AA19" s="28">
        <f>68.881438585797*$L$9</f>
        <v>225.98897173817889</v>
      </c>
      <c r="AB19" s="29">
        <f t="shared" si="0"/>
        <v>0.77349715204027936</v>
      </c>
      <c r="AC19" s="29">
        <f t="shared" si="1"/>
        <v>0.65649350649350635</v>
      </c>
      <c r="AD19" s="30">
        <f t="shared" si="2"/>
        <v>7.2899999999999991</v>
      </c>
      <c r="AE19" s="22"/>
      <c r="AF19" s="23"/>
      <c r="AG19" s="23"/>
      <c r="AH19" s="23"/>
      <c r="AI19" s="23"/>
      <c r="AJ19" s="23"/>
      <c r="AK19" s="23"/>
      <c r="AL19" s="23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108"/>
      <c r="DK19" s="108"/>
      <c r="DL19" s="108"/>
      <c r="DM19" s="108"/>
      <c r="DN19" s="108"/>
      <c r="DO19" s="108"/>
      <c r="DP19" s="108"/>
      <c r="DQ19" s="108"/>
      <c r="DR19" s="108"/>
      <c r="DS19" s="108"/>
    </row>
    <row r="20" spans="1:123" ht="13.5" thickBot="1">
      <c r="A20" s="169"/>
      <c r="B20" s="33"/>
      <c r="C20" s="33"/>
      <c r="D20" s="66"/>
      <c r="E20" s="33"/>
      <c r="F20" s="37"/>
      <c r="G20" s="33"/>
      <c r="H20" s="37"/>
      <c r="I20" s="65"/>
      <c r="J20" s="65"/>
      <c r="K20" s="40"/>
      <c r="L20" s="41">
        <f t="shared" si="3"/>
        <v>1.3089999999999999</v>
      </c>
      <c r="M20" s="47">
        <v>1424</v>
      </c>
      <c r="N20" s="41">
        <v>1.3089999999999999</v>
      </c>
      <c r="O20" s="41"/>
      <c r="P20" s="41"/>
      <c r="Q20" s="41"/>
      <c r="R20" s="41"/>
      <c r="S20" s="20"/>
      <c r="T20" s="21" t="s">
        <v>100</v>
      </c>
      <c r="U20" s="21" t="s">
        <v>101</v>
      </c>
      <c r="V20" s="21"/>
      <c r="W20" s="26" t="s">
        <v>102</v>
      </c>
      <c r="X20" s="26">
        <v>14.3734015345269</v>
      </c>
      <c r="Y20" s="27">
        <v>0.129</v>
      </c>
      <c r="Z20" s="26">
        <f>3.91*$L$15</f>
        <v>3910</v>
      </c>
      <c r="AA20" s="28">
        <f>43.8890582139592*$L$9</f>
        <v>143.99297314291061</v>
      </c>
      <c r="AB20" s="29">
        <f t="shared" si="0"/>
        <v>0.49522660407574165</v>
      </c>
      <c r="AC20" s="29">
        <f t="shared" si="1"/>
        <v>0.29931271477663229</v>
      </c>
      <c r="AD20" s="30">
        <f t="shared" si="2"/>
        <v>56.20000000000018</v>
      </c>
      <c r="AE20" s="67"/>
      <c r="AF20" s="68"/>
      <c r="AG20" s="68"/>
      <c r="AH20" s="68"/>
      <c r="AI20" s="68"/>
      <c r="AJ20" s="68"/>
      <c r="AK20" s="68"/>
      <c r="AL20" s="68"/>
      <c r="AM20" s="15"/>
      <c r="AN20" s="7"/>
      <c r="AO20" s="7"/>
      <c r="AP20" s="7"/>
      <c r="AQ20" s="7"/>
      <c r="AR20" s="7"/>
      <c r="AS20" s="7"/>
      <c r="AT20" s="7"/>
      <c r="AU20" s="7"/>
      <c r="AV20" s="7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108"/>
      <c r="DK20" s="108"/>
      <c r="DL20" s="108"/>
      <c r="DM20" s="108"/>
      <c r="DN20" s="108"/>
      <c r="DO20" s="108"/>
      <c r="DP20" s="108"/>
      <c r="DQ20" s="108"/>
      <c r="DR20" s="108"/>
      <c r="DS20" s="108"/>
    </row>
    <row r="21" spans="1:123" ht="13.5" thickBot="1">
      <c r="A21" s="170" t="s">
        <v>103</v>
      </c>
      <c r="B21" s="56" t="s">
        <v>104</v>
      </c>
      <c r="C21" s="56" t="s">
        <v>105</v>
      </c>
      <c r="D21" s="69" t="s">
        <v>106</v>
      </c>
      <c r="E21" s="56" t="s">
        <v>476</v>
      </c>
      <c r="F21" s="56" t="s">
        <v>107</v>
      </c>
      <c r="G21" s="56" t="s">
        <v>108</v>
      </c>
      <c r="H21" s="56" t="s">
        <v>109</v>
      </c>
      <c r="I21" s="65"/>
      <c r="J21" s="65"/>
      <c r="K21" s="40" t="s">
        <v>110</v>
      </c>
      <c r="L21" s="41">
        <f t="shared" si="3"/>
        <v>1.508</v>
      </c>
      <c r="M21" s="47">
        <v>1637</v>
      </c>
      <c r="N21" s="41">
        <v>1.508</v>
      </c>
      <c r="O21" s="41"/>
      <c r="P21" s="41"/>
      <c r="Q21" s="41"/>
      <c r="R21" s="41"/>
      <c r="S21" s="20"/>
      <c r="T21" s="21"/>
      <c r="U21" s="21" t="s">
        <v>111</v>
      </c>
      <c r="V21" s="25"/>
      <c r="W21" s="26" t="s">
        <v>112</v>
      </c>
      <c r="X21" s="26">
        <v>8.37662337662338</v>
      </c>
      <c r="Y21" s="27">
        <v>5.7000000000000002E-2</v>
      </c>
      <c r="Z21" s="26">
        <f>3.08*$L$15</f>
        <v>3080</v>
      </c>
      <c r="AA21" s="28">
        <f>45.7177689728741*$L$9</f>
        <v>149.99268035719831</v>
      </c>
      <c r="AB21" s="29">
        <f t="shared" si="0"/>
        <v>0.684049187630413</v>
      </c>
      <c r="AC21" s="29">
        <f t="shared" si="1"/>
        <v>0.45336538461538456</v>
      </c>
      <c r="AD21" s="30">
        <f t="shared" si="2"/>
        <v>25.800000000000011</v>
      </c>
      <c r="AE21" s="70" t="s">
        <v>113</v>
      </c>
      <c r="AF21" s="71"/>
      <c r="AG21" s="71"/>
      <c r="AH21" s="71"/>
      <c r="AI21" s="71"/>
      <c r="AJ21" s="71"/>
      <c r="AK21" s="71"/>
      <c r="AL21" s="71"/>
      <c r="AM21" s="15"/>
      <c r="AN21" s="7"/>
      <c r="AO21" s="7"/>
      <c r="AP21" s="7"/>
      <c r="AQ21" s="7"/>
      <c r="AR21" s="7"/>
      <c r="AS21" s="7"/>
      <c r="AT21" s="7"/>
      <c r="AU21" s="7"/>
      <c r="AV21" s="7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108"/>
      <c r="DK21" s="108"/>
      <c r="DL21" s="108"/>
      <c r="DM21" s="108"/>
      <c r="DN21" s="108"/>
      <c r="DO21" s="108"/>
      <c r="DP21" s="108"/>
      <c r="DQ21" s="108"/>
      <c r="DR21" s="108"/>
      <c r="DS21" s="108"/>
    </row>
    <row r="22" spans="1:123" ht="13.5" thickBot="1">
      <c r="A22" s="169"/>
      <c r="B22" s="38">
        <v>10</v>
      </c>
      <c r="C22" s="38">
        <v>0.2</v>
      </c>
      <c r="D22" s="61">
        <f>(D23*$L$15+(1-D23)*C39)</f>
        <v>2650</v>
      </c>
      <c r="E22" s="63">
        <f>70*$L$9</f>
        <v>229.6587926509184</v>
      </c>
      <c r="F22" s="62" t="s">
        <v>96</v>
      </c>
      <c r="G22" s="63">
        <v>0</v>
      </c>
      <c r="H22" s="44">
        <v>8.5855999999999995</v>
      </c>
      <c r="I22" s="72"/>
      <c r="J22" s="65"/>
      <c r="K22" s="40" t="s">
        <v>114</v>
      </c>
      <c r="L22" s="41">
        <f t="shared" si="3"/>
        <v>101.35</v>
      </c>
      <c r="M22" s="41">
        <v>14.65</v>
      </c>
      <c r="N22" s="46">
        <v>101.35</v>
      </c>
      <c r="O22" s="41"/>
      <c r="P22" s="41"/>
      <c r="Q22" s="41"/>
      <c r="R22" s="41"/>
      <c r="S22" s="20"/>
      <c r="T22" s="21"/>
      <c r="U22" s="21" t="s">
        <v>115</v>
      </c>
      <c r="V22" s="43"/>
      <c r="W22" s="26" t="s">
        <v>116</v>
      </c>
      <c r="X22" s="26">
        <v>16.440000000000001</v>
      </c>
      <c r="Y22" s="27">
        <v>-1.9E-2</v>
      </c>
      <c r="Z22" s="26">
        <f>5*$L$15</f>
        <v>5000</v>
      </c>
      <c r="AA22" s="28">
        <f>39.6220664431576*$L$9</f>
        <v>129.99365630957203</v>
      </c>
      <c r="AB22" s="29">
        <f t="shared" si="0"/>
        <v>0.37094483389210603</v>
      </c>
      <c r="AC22" s="29">
        <f t="shared" si="1"/>
        <v>0.25474999999999998</v>
      </c>
      <c r="AD22" s="30">
        <f t="shared" si="2"/>
        <v>82.2</v>
      </c>
      <c r="AE22" s="70"/>
      <c r="AF22" s="71"/>
      <c r="AG22" s="71"/>
      <c r="AH22" s="71"/>
      <c r="AI22" s="71"/>
      <c r="AJ22" s="71"/>
      <c r="AK22" s="71"/>
      <c r="AL22" s="71"/>
      <c r="AM22" s="15"/>
      <c r="AN22" s="7"/>
      <c r="AO22" s="7"/>
      <c r="AP22" s="7"/>
      <c r="AQ22" s="7"/>
      <c r="AR22" s="7"/>
      <c r="AS22" s="7"/>
      <c r="AT22" s="7"/>
      <c r="AU22" s="7"/>
      <c r="AV22" s="7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108"/>
      <c r="DK22" s="108"/>
      <c r="DL22" s="108"/>
      <c r="DM22" s="108"/>
      <c r="DN22" s="108"/>
      <c r="DO22" s="108"/>
      <c r="DP22" s="108"/>
      <c r="DQ22" s="108"/>
      <c r="DR22" s="108"/>
      <c r="DS22" s="108"/>
    </row>
    <row r="23" spans="1:123" ht="13.5" thickBot="1">
      <c r="A23" s="169"/>
      <c r="B23" s="33"/>
      <c r="C23" s="33" t="s">
        <v>117</v>
      </c>
      <c r="D23" s="73">
        <v>0</v>
      </c>
      <c r="E23" s="32"/>
      <c r="F23" s="37"/>
      <c r="G23" s="33"/>
      <c r="H23" s="33"/>
      <c r="I23" s="65"/>
      <c r="J23" s="65"/>
      <c r="K23" s="40" t="s">
        <v>118</v>
      </c>
      <c r="L23" s="41">
        <f t="shared" si="3"/>
        <v>175.868055555556</v>
      </c>
      <c r="M23" s="41">
        <v>4.5304645133198704</v>
      </c>
      <c r="N23" s="46">
        <v>175.868055555556</v>
      </c>
      <c r="O23" s="41"/>
      <c r="P23" s="41"/>
      <c r="Q23" s="41"/>
      <c r="R23" s="41"/>
      <c r="S23" s="20"/>
      <c r="T23" s="21" t="s">
        <v>119</v>
      </c>
      <c r="U23" s="21" t="s">
        <v>120</v>
      </c>
      <c r="V23" s="25"/>
      <c r="W23" s="26" t="s">
        <v>121</v>
      </c>
      <c r="X23" s="26">
        <v>6.6538461538461497</v>
      </c>
      <c r="Y23" s="27">
        <v>-6.0000000000000001E-3</v>
      </c>
      <c r="Z23" s="26">
        <f>3.12*$L$15</f>
        <v>3120</v>
      </c>
      <c r="AA23" s="28">
        <f>45.7177689728741*$L$9</f>
        <v>149.99268035719831</v>
      </c>
      <c r="AB23" s="29">
        <f t="shared" si="0"/>
        <v>0.6711425991845561</v>
      </c>
      <c r="AC23" s="29">
        <f t="shared" si="1"/>
        <v>0.47452830188679246</v>
      </c>
      <c r="AD23" s="30">
        <f t="shared" si="2"/>
        <v>20.759999999999984</v>
      </c>
      <c r="AE23" s="74" t="s">
        <v>122</v>
      </c>
      <c r="AF23" s="75"/>
      <c r="AG23" s="75"/>
      <c r="AH23" s="75"/>
      <c r="AI23" s="75"/>
      <c r="AJ23" s="75"/>
      <c r="AK23" s="75"/>
      <c r="AL23" s="75"/>
      <c r="AM23" s="35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108"/>
      <c r="DK23" s="108"/>
      <c r="DL23" s="108"/>
      <c r="DM23" s="108"/>
      <c r="DN23" s="108"/>
      <c r="DO23" s="108"/>
      <c r="DP23" s="108"/>
      <c r="DQ23" s="108"/>
      <c r="DR23" s="108"/>
      <c r="DS23" s="108"/>
    </row>
    <row r="24" spans="1:123" ht="13.5" thickBot="1">
      <c r="A24" s="170" t="s">
        <v>123</v>
      </c>
      <c r="B24" s="56" t="s">
        <v>124</v>
      </c>
      <c r="C24" s="56" t="s">
        <v>125</v>
      </c>
      <c r="D24" s="76" t="s">
        <v>126</v>
      </c>
      <c r="E24" s="56" t="s">
        <v>477</v>
      </c>
      <c r="F24" s="37"/>
      <c r="G24" s="37"/>
      <c r="H24" s="56" t="s">
        <v>127</v>
      </c>
      <c r="I24" s="65"/>
      <c r="J24" s="65"/>
      <c r="K24" s="40" t="s">
        <v>128</v>
      </c>
      <c r="L24" s="41" t="str">
        <f t="shared" ref="L24:L37" si="6">IF($A$15="M",N24,IF($I$51=1,K21,M24))</f>
        <v>meters</v>
      </c>
      <c r="M24" s="77" t="s">
        <v>110</v>
      </c>
      <c r="N24" s="77" t="s">
        <v>129</v>
      </c>
      <c r="O24" s="41"/>
      <c r="P24" s="41"/>
      <c r="Q24" s="41"/>
      <c r="R24" s="41"/>
      <c r="S24" s="20"/>
      <c r="T24" s="21"/>
      <c r="U24" s="21" t="s">
        <v>130</v>
      </c>
      <c r="V24" s="25"/>
      <c r="W24" s="26" t="s">
        <v>131</v>
      </c>
      <c r="X24" s="26">
        <v>4.7438423645320196</v>
      </c>
      <c r="Y24" s="27">
        <v>-1.7999999999999999E-2</v>
      </c>
      <c r="Z24" s="26">
        <f>2.03*$L$15</f>
        <v>2029.9999999999998</v>
      </c>
      <c r="AA24" s="28">
        <f>67.052727826882*$L$9</f>
        <v>219.98926452389085</v>
      </c>
      <c r="AB24" s="29">
        <f t="shared" si="0"/>
        <v>1.1742453609040586</v>
      </c>
      <c r="AC24" s="29">
        <f t="shared" si="1"/>
        <v>0.98834951456310705</v>
      </c>
      <c r="AD24" s="30">
        <f t="shared" si="2"/>
        <v>9.629999999999999</v>
      </c>
      <c r="AE24" s="15" t="s">
        <v>132</v>
      </c>
      <c r="AF24" s="7"/>
      <c r="AG24" s="7"/>
      <c r="AH24" s="7"/>
      <c r="AI24" s="7"/>
      <c r="AJ24" s="7"/>
      <c r="AK24" s="7"/>
      <c r="AL24" s="7"/>
      <c r="AM24" s="35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108"/>
      <c r="DK24" s="108"/>
      <c r="DL24" s="108"/>
      <c r="DM24" s="108"/>
      <c r="DN24" s="108"/>
      <c r="DO24" s="108"/>
      <c r="DP24" s="108"/>
      <c r="DQ24" s="108"/>
      <c r="DR24" s="108"/>
      <c r="DS24" s="108"/>
    </row>
    <row r="25" spans="1:123" ht="13.5" thickBot="1">
      <c r="A25" s="169"/>
      <c r="B25" s="78">
        <f>S63</f>
        <v>6.7539997500522475E-2</v>
      </c>
      <c r="C25" s="38">
        <v>1</v>
      </c>
      <c r="D25" s="63">
        <f>1*$L$15</f>
        <v>1000</v>
      </c>
      <c r="E25" s="63">
        <f>188*$L$9</f>
        <v>616.79790026246656</v>
      </c>
      <c r="F25" s="36"/>
      <c r="G25" s="37"/>
      <c r="H25" s="44">
        <v>1</v>
      </c>
      <c r="I25" s="72"/>
      <c r="J25" s="65"/>
      <c r="K25" s="40" t="s">
        <v>133</v>
      </c>
      <c r="L25" s="41" t="str">
        <f t="shared" si="6"/>
        <v>us/m</v>
      </c>
      <c r="M25" s="77" t="s">
        <v>114</v>
      </c>
      <c r="N25" s="77" t="s">
        <v>134</v>
      </c>
      <c r="O25" s="41"/>
      <c r="P25" s="41"/>
      <c r="Q25" s="41"/>
      <c r="R25" s="41"/>
      <c r="S25" s="20"/>
      <c r="T25" s="21"/>
      <c r="U25" s="21" t="s">
        <v>135</v>
      </c>
      <c r="V25" s="25"/>
      <c r="W25" s="26" t="s">
        <v>136</v>
      </c>
      <c r="X25" s="26">
        <v>8.7473118279569899</v>
      </c>
      <c r="Y25" s="27">
        <v>-4.1000000000000002E-2</v>
      </c>
      <c r="Z25" s="26">
        <f>1.86*$L$15</f>
        <v>1860</v>
      </c>
      <c r="AA25" s="28">
        <f>73.7580006095703*$L$9*$L$9</f>
        <v>793.92451107703414</v>
      </c>
      <c r="AB25" s="29">
        <f t="shared" si="0"/>
        <v>-0.62776966251488675</v>
      </c>
      <c r="AC25" s="29">
        <f t="shared" si="1"/>
        <v>1.2104651162790696</v>
      </c>
      <c r="AD25" s="30">
        <f t="shared" si="2"/>
        <v>16.270000000000003</v>
      </c>
      <c r="AE25" s="15" t="s">
        <v>137</v>
      </c>
      <c r="AF25" s="7"/>
      <c r="AG25" s="7"/>
      <c r="AH25" s="7"/>
      <c r="AI25" s="7"/>
      <c r="AJ25" s="7"/>
      <c r="AK25" s="7"/>
      <c r="AL25" s="7"/>
      <c r="AM25" s="35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108"/>
      <c r="DK25" s="108"/>
      <c r="DL25" s="108"/>
      <c r="DM25" s="108"/>
      <c r="DN25" s="108"/>
      <c r="DO25" s="108"/>
      <c r="DP25" s="108"/>
      <c r="DQ25" s="108"/>
      <c r="DR25" s="108"/>
      <c r="DS25" s="108"/>
    </row>
    <row r="26" spans="1:123" ht="13.5" thickBot="1">
      <c r="A26" s="169"/>
      <c r="B26" s="79" t="s">
        <v>138</v>
      </c>
      <c r="C26" s="80"/>
      <c r="D26" s="81"/>
      <c r="E26" s="80"/>
      <c r="F26" s="36"/>
      <c r="G26" s="37"/>
      <c r="H26" s="33"/>
      <c r="I26" s="65"/>
      <c r="J26" s="65"/>
      <c r="K26" s="40" t="s">
        <v>139</v>
      </c>
      <c r="L26" s="41" t="str">
        <f t="shared" si="6"/>
        <v>KPa</v>
      </c>
      <c r="M26" s="77" t="s">
        <v>118</v>
      </c>
      <c r="N26" s="77" t="s">
        <v>140</v>
      </c>
      <c r="O26" s="41"/>
      <c r="P26" s="41"/>
      <c r="Q26" s="41"/>
      <c r="R26" s="41"/>
      <c r="S26" s="20"/>
      <c r="T26" s="21"/>
      <c r="U26" s="21" t="s">
        <v>141</v>
      </c>
      <c r="V26" s="25"/>
      <c r="W26" s="26" t="s">
        <v>142</v>
      </c>
      <c r="X26" s="26">
        <v>4.2884615384615401</v>
      </c>
      <c r="Y26" s="27">
        <v>0.58399999999999996</v>
      </c>
      <c r="Z26" s="26">
        <f>1.56*$L$15</f>
        <v>1560</v>
      </c>
      <c r="AA26" s="28">
        <f>78.0249923803718*$L$9</f>
        <v>255.98750780961851</v>
      </c>
      <c r="AB26" s="29">
        <f t="shared" si="0"/>
        <v>1.9638394217790753</v>
      </c>
      <c r="AC26" s="29">
        <f t="shared" si="1"/>
        <v>0.74285714285714288</v>
      </c>
      <c r="AD26" s="30">
        <f t="shared" si="2"/>
        <v>6.6900000000000031</v>
      </c>
      <c r="AE26" s="15" t="s">
        <v>143</v>
      </c>
      <c r="AF26" s="7"/>
      <c r="AG26" s="7"/>
      <c r="AH26" s="7"/>
      <c r="AI26" s="7"/>
      <c r="AJ26" s="7"/>
      <c r="AK26" s="7"/>
      <c r="AL26" s="7"/>
      <c r="AM26" s="35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108"/>
      <c r="DK26" s="108"/>
      <c r="DL26" s="108"/>
      <c r="DM26" s="108"/>
      <c r="DN26" s="108"/>
      <c r="DO26" s="108"/>
      <c r="DP26" s="108"/>
      <c r="DQ26" s="108"/>
      <c r="DR26" s="108"/>
      <c r="DS26" s="108"/>
    </row>
    <row r="27" spans="1:123" ht="13.5" thickBot="1">
      <c r="A27" s="170" t="s">
        <v>144</v>
      </c>
      <c r="B27" s="82" t="s">
        <v>145</v>
      </c>
      <c r="C27" s="82" t="s">
        <v>146</v>
      </c>
      <c r="D27" s="76" t="s">
        <v>147</v>
      </c>
      <c r="E27" s="82" t="s">
        <v>478</v>
      </c>
      <c r="F27" s="37"/>
      <c r="G27" s="37"/>
      <c r="H27" s="37" t="s">
        <v>148</v>
      </c>
      <c r="I27" s="65"/>
      <c r="J27" s="65"/>
      <c r="K27" s="40" t="s">
        <v>149</v>
      </c>
      <c r="L27" s="41" t="str">
        <f t="shared" si="6"/>
        <v>m3/d</v>
      </c>
      <c r="M27" s="77" t="s">
        <v>150</v>
      </c>
      <c r="N27" s="77" t="s">
        <v>151</v>
      </c>
      <c r="O27" s="41"/>
      <c r="P27" s="41"/>
      <c r="Q27" s="41"/>
      <c r="R27" s="41"/>
      <c r="S27" s="20"/>
      <c r="T27" s="21" t="s">
        <v>152</v>
      </c>
      <c r="U27" s="21" t="s">
        <v>153</v>
      </c>
      <c r="V27" s="25"/>
      <c r="W27" s="26" t="s">
        <v>154</v>
      </c>
      <c r="X27" s="26">
        <v>0.17006802721088399</v>
      </c>
      <c r="Y27" s="27">
        <v>0.41399999999999998</v>
      </c>
      <c r="Z27" s="26">
        <f>1.47*$L$15</f>
        <v>1470</v>
      </c>
      <c r="AA27" s="28">
        <f>105.15086863761*$L$9</f>
        <v>344.98316482155474</v>
      </c>
      <c r="AB27" s="29">
        <f t="shared" si="0"/>
        <v>1.7627474757955321</v>
      </c>
      <c r="AC27" s="29">
        <f t="shared" si="1"/>
        <v>1.246808510638298</v>
      </c>
      <c r="AD27" s="30">
        <f t="shared" si="2"/>
        <v>0.24999999999999947</v>
      </c>
      <c r="AE27" s="15" t="s">
        <v>155</v>
      </c>
      <c r="AF27" s="7"/>
      <c r="AG27" s="7"/>
      <c r="AH27" s="7"/>
      <c r="AI27" s="7"/>
      <c r="AJ27" s="7"/>
      <c r="AK27" s="7"/>
      <c r="AL27" s="7"/>
      <c r="AM27" s="35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108"/>
      <c r="DK27" s="108"/>
      <c r="DL27" s="108"/>
      <c r="DM27" s="108"/>
      <c r="DN27" s="108"/>
      <c r="DO27" s="108"/>
      <c r="DP27" s="108"/>
      <c r="DQ27" s="108"/>
      <c r="DR27" s="108"/>
      <c r="DS27" s="108"/>
    </row>
    <row r="28" spans="1:123" ht="13.5" thickBot="1">
      <c r="A28" s="169"/>
      <c r="B28" s="59">
        <v>1.5</v>
      </c>
      <c r="C28" s="38">
        <v>1</v>
      </c>
      <c r="D28" s="63">
        <f>0.909*$L$15</f>
        <v>909</v>
      </c>
      <c r="E28" s="63">
        <f>198*$L$9</f>
        <v>649.60629921259772</v>
      </c>
      <c r="F28" s="36"/>
      <c r="G28" s="37"/>
      <c r="H28" s="44">
        <v>1</v>
      </c>
      <c r="I28" s="72"/>
      <c r="J28" s="65"/>
      <c r="K28" s="40" t="s">
        <v>21</v>
      </c>
      <c r="L28" s="41" t="str">
        <f t="shared" si="6"/>
        <v>Kg/m3</v>
      </c>
      <c r="M28" s="77" t="s">
        <v>133</v>
      </c>
      <c r="N28" s="77" t="s">
        <v>156</v>
      </c>
      <c r="O28" s="41"/>
      <c r="P28" s="41"/>
      <c r="Q28" s="41"/>
      <c r="R28" s="41"/>
      <c r="S28" s="20"/>
      <c r="T28" s="21" t="s">
        <v>29</v>
      </c>
      <c r="U28" s="21" t="s">
        <v>157</v>
      </c>
      <c r="V28" s="25"/>
      <c r="W28" s="26" t="s">
        <v>158</v>
      </c>
      <c r="X28" s="26">
        <v>0.218487394957983</v>
      </c>
      <c r="Y28" s="27">
        <v>0.54200000000000004</v>
      </c>
      <c r="Z28" s="26">
        <f>1.19*$L$15</f>
        <v>1190</v>
      </c>
      <c r="AA28" s="28">
        <f>160.012191411155*$L$9</f>
        <v>524.97438127019302</v>
      </c>
      <c r="AB28" s="29">
        <f t="shared" si="0"/>
        <v>1.4730425573076316</v>
      </c>
      <c r="AC28" s="29">
        <f t="shared" si="1"/>
        <v>2.4105263157894736</v>
      </c>
      <c r="AD28" s="30">
        <f t="shared" si="2"/>
        <v>0.25999999999999979</v>
      </c>
      <c r="AE28" s="15" t="s">
        <v>159</v>
      </c>
      <c r="AF28" s="7"/>
      <c r="AG28" s="7"/>
      <c r="AH28" s="7"/>
      <c r="AI28" s="7"/>
      <c r="AJ28" s="7"/>
      <c r="AK28" s="7"/>
      <c r="AL28" s="7"/>
      <c r="AM28" s="35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108"/>
      <c r="DK28" s="108"/>
      <c r="DL28" s="108"/>
      <c r="DM28" s="108"/>
      <c r="DN28" s="108"/>
      <c r="DO28" s="108"/>
      <c r="DP28" s="108"/>
      <c r="DQ28" s="108"/>
      <c r="DR28" s="108"/>
      <c r="DS28" s="108"/>
    </row>
    <row r="29" spans="1:123" ht="13.5" thickBot="1">
      <c r="A29" s="169"/>
      <c r="B29" s="33"/>
      <c r="C29" s="33"/>
      <c r="D29" s="66"/>
      <c r="E29" s="33"/>
      <c r="F29" s="37"/>
      <c r="G29" s="37"/>
      <c r="H29" s="33"/>
      <c r="I29" s="37"/>
      <c r="J29" s="37"/>
      <c r="K29" s="40" t="s">
        <v>160</v>
      </c>
      <c r="L29" s="41" t="str">
        <f t="shared" si="6"/>
        <v>mm</v>
      </c>
      <c r="M29" s="77" t="s">
        <v>139</v>
      </c>
      <c r="N29" s="77" t="s">
        <v>161</v>
      </c>
      <c r="O29" s="41"/>
      <c r="P29" s="41"/>
      <c r="Q29" s="41"/>
      <c r="R29" s="41"/>
      <c r="S29" s="20"/>
      <c r="T29" s="83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15" t="s">
        <v>162</v>
      </c>
      <c r="AF29" s="7"/>
      <c r="AG29" s="7"/>
      <c r="AH29" s="7"/>
      <c r="AI29" s="7"/>
      <c r="AJ29" s="7"/>
      <c r="AK29" s="7"/>
      <c r="AL29" s="7"/>
      <c r="AM29" s="35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108"/>
      <c r="DK29" s="108"/>
      <c r="DL29" s="108"/>
      <c r="DM29" s="108"/>
      <c r="DN29" s="108"/>
      <c r="DO29" s="108"/>
      <c r="DP29" s="108"/>
      <c r="DQ29" s="108"/>
      <c r="DR29" s="108"/>
      <c r="DS29" s="108"/>
    </row>
    <row r="30" spans="1:123" ht="13.5" thickBot="1">
      <c r="A30" s="170" t="s">
        <v>163</v>
      </c>
      <c r="B30" s="56" t="s">
        <v>164</v>
      </c>
      <c r="C30" s="56" t="s">
        <v>165</v>
      </c>
      <c r="D30" s="69" t="s">
        <v>166</v>
      </c>
      <c r="E30" s="56" t="s">
        <v>479</v>
      </c>
      <c r="F30" s="84" t="s">
        <v>167</v>
      </c>
      <c r="G30" s="84" t="s">
        <v>168</v>
      </c>
      <c r="H30" s="85" t="s">
        <v>169</v>
      </c>
      <c r="I30" s="79" t="s">
        <v>170</v>
      </c>
      <c r="J30" s="80"/>
      <c r="K30" s="40" t="s">
        <v>171</v>
      </c>
      <c r="L30" s="41" t="str">
        <f t="shared" si="6"/>
        <v>'C</v>
      </c>
      <c r="M30" s="77" t="s">
        <v>149</v>
      </c>
      <c r="N30" s="77" t="s">
        <v>172</v>
      </c>
      <c r="O30" s="41"/>
      <c r="P30" s="41"/>
      <c r="Q30" s="41"/>
      <c r="R30" s="41"/>
      <c r="S30" s="20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15" t="s">
        <v>173</v>
      </c>
      <c r="AF30" s="7"/>
      <c r="AG30" s="7"/>
      <c r="AH30" s="7"/>
      <c r="AI30" s="7"/>
      <c r="AJ30" s="7"/>
      <c r="AK30" s="7"/>
      <c r="AL30" s="7"/>
      <c r="AM30" s="35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108"/>
      <c r="DK30" s="108"/>
      <c r="DL30" s="108"/>
      <c r="DM30" s="108"/>
      <c r="DN30" s="108"/>
      <c r="DO30" s="108"/>
      <c r="DP30" s="108"/>
      <c r="DQ30" s="108"/>
      <c r="DR30" s="108"/>
      <c r="DS30" s="108"/>
    </row>
    <row r="31" spans="1:123" ht="13.5" thickBot="1">
      <c r="A31" s="171" t="s">
        <v>35</v>
      </c>
      <c r="B31" s="38">
        <v>3.1358885017421598</v>
      </c>
      <c r="C31" s="60">
        <v>5.0000000000000001E-3</v>
      </c>
      <c r="D31" s="63">
        <f>2.87*$L$15</f>
        <v>2870</v>
      </c>
      <c r="E31" s="63">
        <f>44*$L$9</f>
        <v>144.35695538057729</v>
      </c>
      <c r="F31" s="86">
        <f>0.01*($E$25-E31)/(D31-$D$25)/$L$9*$L$15</f>
        <v>0.77005347593582896</v>
      </c>
      <c r="G31" s="86">
        <f>($C$25-C31)/(D31-$D$25)*$L$15</f>
        <v>0.53208556149732622</v>
      </c>
      <c r="H31" s="59">
        <f>D31*B31/$L$15</f>
        <v>8.9999999999999982</v>
      </c>
      <c r="I31" s="87" t="s">
        <v>174</v>
      </c>
      <c r="J31" s="88"/>
      <c r="K31" s="40" t="s">
        <v>175</v>
      </c>
      <c r="L31" s="41" t="str">
        <f t="shared" si="6"/>
        <v>Metric</v>
      </c>
      <c r="M31" s="77" t="s">
        <v>21</v>
      </c>
      <c r="N31" s="77" t="s">
        <v>176</v>
      </c>
      <c r="O31" s="41"/>
      <c r="P31" s="41"/>
      <c r="Q31" s="41"/>
      <c r="R31" s="41"/>
      <c r="S31" s="20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15" t="s">
        <v>177</v>
      </c>
      <c r="AF31" s="7"/>
      <c r="AG31" s="7"/>
      <c r="AH31" s="7"/>
      <c r="AI31" s="7"/>
      <c r="AJ31" s="7"/>
      <c r="AK31" s="7"/>
      <c r="AL31" s="7"/>
      <c r="AM31" s="35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108"/>
      <c r="DK31" s="108"/>
      <c r="DL31" s="108"/>
      <c r="DM31" s="108"/>
      <c r="DN31" s="108"/>
      <c r="DO31" s="108"/>
      <c r="DP31" s="108"/>
      <c r="DQ31" s="108"/>
      <c r="DR31" s="108"/>
      <c r="DS31" s="108"/>
    </row>
    <row r="32" spans="1:123">
      <c r="A32" s="168"/>
      <c r="B32" s="33"/>
      <c r="C32" s="33"/>
      <c r="D32" s="66"/>
      <c r="E32" s="33"/>
      <c r="F32" s="33"/>
      <c r="G32" s="33"/>
      <c r="H32" s="33"/>
      <c r="I32" s="89" t="s">
        <v>178</v>
      </c>
      <c r="J32" s="90"/>
      <c r="K32" s="40" t="s">
        <v>179</v>
      </c>
      <c r="L32" s="41" t="str">
        <f t="shared" si="6"/>
        <v>md-m</v>
      </c>
      <c r="M32" s="77" t="s">
        <v>160</v>
      </c>
      <c r="N32" s="77" t="s">
        <v>180</v>
      </c>
      <c r="O32" s="41"/>
      <c r="P32" s="41"/>
      <c r="Q32" s="91"/>
      <c r="R32" s="91"/>
      <c r="S32" s="20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15" t="s">
        <v>181</v>
      </c>
      <c r="AF32" s="7"/>
      <c r="AG32" s="7"/>
      <c r="AH32" s="7"/>
      <c r="AI32" s="7"/>
      <c r="AJ32" s="7"/>
      <c r="AK32" s="7"/>
      <c r="AL32" s="7"/>
      <c r="AM32" s="35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108"/>
      <c r="DK32" s="108"/>
      <c r="DL32" s="108"/>
      <c r="DM32" s="108"/>
      <c r="DN32" s="108"/>
      <c r="DO32" s="108"/>
      <c r="DP32" s="108"/>
      <c r="DQ32" s="108"/>
      <c r="DR32" s="108"/>
      <c r="DS32" s="108"/>
    </row>
    <row r="33" spans="1:123" ht="13.5" thickBot="1">
      <c r="A33" s="170" t="s">
        <v>182</v>
      </c>
      <c r="B33" s="56" t="s">
        <v>183</v>
      </c>
      <c r="C33" s="56" t="s">
        <v>184</v>
      </c>
      <c r="D33" s="69" t="s">
        <v>185</v>
      </c>
      <c r="E33" s="56" t="s">
        <v>480</v>
      </c>
      <c r="F33" s="84" t="s">
        <v>186</v>
      </c>
      <c r="G33" s="84" t="s">
        <v>187</v>
      </c>
      <c r="H33" s="85" t="s">
        <v>188</v>
      </c>
      <c r="I33" s="89" t="s">
        <v>189</v>
      </c>
      <c r="J33" s="90"/>
      <c r="K33" s="40" t="s">
        <v>190</v>
      </c>
      <c r="L33" s="41" t="str">
        <f t="shared" si="6"/>
        <v>m3</v>
      </c>
      <c r="M33" s="77" t="s">
        <v>191</v>
      </c>
      <c r="N33" s="77" t="s">
        <v>192</v>
      </c>
      <c r="O33" s="41"/>
      <c r="P33" s="41"/>
      <c r="Q33" s="41"/>
      <c r="R33" s="41"/>
      <c r="S33" s="20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15" t="s">
        <v>193</v>
      </c>
      <c r="AF33" s="7"/>
      <c r="AG33" s="7"/>
      <c r="AH33" s="7"/>
      <c r="AI33" s="7"/>
      <c r="AJ33" s="7"/>
      <c r="AK33" s="7"/>
      <c r="AL33" s="7"/>
      <c r="AM33" s="35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108"/>
      <c r="DK33" s="108"/>
      <c r="DL33" s="108"/>
      <c r="DM33" s="108"/>
      <c r="DN33" s="108"/>
      <c r="DO33" s="108"/>
      <c r="DP33" s="108"/>
      <c r="DQ33" s="108"/>
      <c r="DR33" s="108"/>
      <c r="DS33" s="108"/>
    </row>
    <row r="34" spans="1:123" ht="13.5" thickBot="1">
      <c r="A34" s="171" t="s">
        <v>27</v>
      </c>
      <c r="B34" s="38">
        <v>1.80377358490566</v>
      </c>
      <c r="C34" s="60">
        <v>-2.8000000000000001E-2</v>
      </c>
      <c r="D34" s="63">
        <f>2.65*$L$15</f>
        <v>2650</v>
      </c>
      <c r="E34" s="63">
        <f>55.5*$L$9</f>
        <v>182.08661417322816</v>
      </c>
      <c r="F34" s="86">
        <f>0.01*($E$25-E34)/(D34-$D$25)/$L$9*$L$15</f>
        <v>0.80303030303030309</v>
      </c>
      <c r="G34" s="86">
        <f>($C$25-C34)/(D34-$D$25)*$L$15</f>
        <v>0.62303030303030305</v>
      </c>
      <c r="H34" s="59">
        <f>D34*B34/$L$15</f>
        <v>4.7799999999999994</v>
      </c>
      <c r="I34" s="87" t="s">
        <v>194</v>
      </c>
      <c r="J34" s="88"/>
      <c r="K34" s="40" t="s">
        <v>195</v>
      </c>
      <c r="L34" s="41" t="str">
        <f t="shared" si="6"/>
        <v>$/m3</v>
      </c>
      <c r="M34" s="77" t="s">
        <v>196</v>
      </c>
      <c r="N34" s="77" t="s">
        <v>197</v>
      </c>
      <c r="O34" s="41"/>
      <c r="P34" s="41"/>
      <c r="Q34" s="41"/>
      <c r="R34" s="41"/>
      <c r="S34" s="20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15" t="s">
        <v>198</v>
      </c>
      <c r="AF34" s="7"/>
      <c r="AG34" s="7"/>
      <c r="AH34" s="7"/>
      <c r="AI34" s="7"/>
      <c r="AJ34" s="7"/>
      <c r="AK34" s="7"/>
      <c r="AL34" s="7"/>
      <c r="AM34" s="35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108"/>
      <c r="DK34" s="108"/>
      <c r="DL34" s="108"/>
      <c r="DM34" s="108"/>
      <c r="DN34" s="108"/>
      <c r="DO34" s="108"/>
      <c r="DP34" s="108"/>
      <c r="DQ34" s="108"/>
      <c r="DR34" s="108"/>
      <c r="DS34" s="108"/>
    </row>
    <row r="35" spans="1:123" ht="13.5" thickBot="1">
      <c r="A35" s="168"/>
      <c r="B35" s="33"/>
      <c r="C35" s="33"/>
      <c r="D35" s="66"/>
      <c r="E35" s="33"/>
      <c r="F35" s="33"/>
      <c r="G35" s="33"/>
      <c r="H35" s="33"/>
      <c r="I35" s="89" t="s">
        <v>199</v>
      </c>
      <c r="J35" s="90"/>
      <c r="K35" s="40" t="s">
        <v>200</v>
      </c>
      <c r="L35" s="41" t="str">
        <f t="shared" si="6"/>
        <v>m3/KPa</v>
      </c>
      <c r="M35" s="77" t="s">
        <v>179</v>
      </c>
      <c r="N35" s="77" t="s">
        <v>201</v>
      </c>
      <c r="O35" s="41"/>
      <c r="P35" s="41"/>
      <c r="Q35" s="41"/>
      <c r="R35" s="41"/>
      <c r="S35" s="20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15" t="s">
        <v>202</v>
      </c>
      <c r="AF35" s="7"/>
      <c r="AG35" s="7"/>
      <c r="AH35" s="7"/>
      <c r="AI35" s="7"/>
      <c r="AJ35" s="7"/>
      <c r="AK35" s="7"/>
      <c r="AL35" s="7"/>
      <c r="AM35" s="35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108"/>
      <c r="DK35" s="108"/>
      <c r="DL35" s="108"/>
      <c r="DM35" s="108"/>
      <c r="DN35" s="108"/>
      <c r="DO35" s="108"/>
      <c r="DP35" s="108"/>
      <c r="DQ35" s="108"/>
      <c r="DR35" s="108"/>
      <c r="DS35" s="108"/>
    </row>
    <row r="36" spans="1:123" ht="13.5" thickBot="1">
      <c r="A36" s="170" t="s">
        <v>203</v>
      </c>
      <c r="B36" s="56" t="s">
        <v>204</v>
      </c>
      <c r="C36" s="56" t="s">
        <v>205</v>
      </c>
      <c r="D36" s="69" t="s">
        <v>206</v>
      </c>
      <c r="E36" s="56" t="s">
        <v>481</v>
      </c>
      <c r="F36" s="84" t="s">
        <v>207</v>
      </c>
      <c r="G36" s="84" t="s">
        <v>208</v>
      </c>
      <c r="H36" s="85" t="s">
        <v>209</v>
      </c>
      <c r="I36" s="33"/>
      <c r="J36" s="33"/>
      <c r="K36" s="40" t="s">
        <v>210</v>
      </c>
      <c r="L36" s="41" t="str">
        <f t="shared" si="6"/>
        <v>1000bbl</v>
      </c>
      <c r="M36" s="77" t="s">
        <v>211</v>
      </c>
      <c r="N36" s="77" t="s">
        <v>211</v>
      </c>
      <c r="O36" s="41"/>
      <c r="P36" s="41"/>
      <c r="Q36" s="41"/>
      <c r="R36" s="41"/>
      <c r="S36" s="20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15" t="s">
        <v>212</v>
      </c>
      <c r="AF36" s="7"/>
      <c r="AG36" s="7"/>
      <c r="AH36" s="7"/>
      <c r="AI36" s="7"/>
      <c r="AJ36" s="7"/>
      <c r="AK36" s="7"/>
      <c r="AL36" s="7"/>
      <c r="AM36" s="35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108"/>
      <c r="DK36" s="108"/>
      <c r="DL36" s="108"/>
      <c r="DM36" s="108"/>
      <c r="DN36" s="108"/>
      <c r="DO36" s="108"/>
      <c r="DP36" s="108"/>
      <c r="DQ36" s="108"/>
      <c r="DR36" s="108"/>
      <c r="DS36" s="108"/>
    </row>
    <row r="37" spans="1:123" ht="13.5" thickBot="1">
      <c r="A37" s="171" t="s">
        <v>37</v>
      </c>
      <c r="B37" s="38">
        <v>5.0677966101694896</v>
      </c>
      <c r="C37" s="60">
        <v>2E-3</v>
      </c>
      <c r="D37" s="63">
        <f>2.95*$L$15</f>
        <v>2950</v>
      </c>
      <c r="E37" s="63">
        <f>50*$L$9</f>
        <v>164.04199475065599</v>
      </c>
      <c r="F37" s="86">
        <f>0.01*($E$25-E37)/(D37-$D$25)/$L$9*$L$15</f>
        <v>0.70769230769230773</v>
      </c>
      <c r="G37" s="86">
        <f>($C$25-C37)/(D37-$D$25)*$L$15</f>
        <v>0.51179487179487182</v>
      </c>
      <c r="H37" s="59">
        <f>D37*B37/$L$15</f>
        <v>14.949999999999994</v>
      </c>
      <c r="I37" s="72"/>
      <c r="J37" s="65"/>
      <c r="K37" s="40" t="s">
        <v>213</v>
      </c>
      <c r="L37" s="41" t="str">
        <f t="shared" si="6"/>
        <v xml:space="preserve"> bbl/d</v>
      </c>
      <c r="M37" s="77" t="s">
        <v>214</v>
      </c>
      <c r="N37" s="77" t="s">
        <v>214</v>
      </c>
      <c r="O37" s="41"/>
      <c r="P37" s="41"/>
      <c r="Q37" s="41"/>
      <c r="R37" s="41"/>
      <c r="S37" s="20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15" t="s">
        <v>215</v>
      </c>
      <c r="AF37" s="7"/>
      <c r="AG37" s="7"/>
      <c r="AH37" s="7"/>
      <c r="AI37" s="7"/>
      <c r="AJ37" s="7"/>
      <c r="AK37" s="7"/>
      <c r="AL37" s="7"/>
      <c r="AM37" s="35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108"/>
      <c r="DK37" s="108"/>
      <c r="DL37" s="108"/>
      <c r="DM37" s="108"/>
      <c r="DN37" s="108"/>
      <c r="DO37" s="108"/>
      <c r="DP37" s="108"/>
      <c r="DQ37" s="108"/>
      <c r="DR37" s="108"/>
      <c r="DS37" s="108"/>
    </row>
    <row r="38" spans="1:123" ht="13.5" thickBot="1">
      <c r="A38" s="168"/>
      <c r="B38" s="33"/>
      <c r="C38" s="33"/>
      <c r="D38" s="33"/>
      <c r="E38" s="33"/>
      <c r="F38" s="33"/>
      <c r="G38" s="33"/>
      <c r="H38" s="92"/>
      <c r="I38" s="37"/>
      <c r="J38" s="37"/>
      <c r="K38" s="93"/>
      <c r="L38" s="41" t="str">
        <f>IF($A$15="M",N38,M38)</f>
        <v>m3</v>
      </c>
      <c r="M38" s="77" t="s">
        <v>191</v>
      </c>
      <c r="N38" s="77" t="s">
        <v>192</v>
      </c>
      <c r="O38" s="41"/>
      <c r="P38" s="41"/>
      <c r="Q38" s="41"/>
      <c r="R38" s="41"/>
      <c r="S38" s="20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15" t="s">
        <v>216</v>
      </c>
      <c r="AF38" s="7"/>
      <c r="AG38" s="7"/>
      <c r="AH38" s="7"/>
      <c r="AI38" s="7"/>
      <c r="AJ38" s="7"/>
      <c r="AK38" s="7"/>
      <c r="AL38" s="7"/>
      <c r="AM38" s="35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108"/>
      <c r="DK38" s="108"/>
      <c r="DL38" s="108"/>
      <c r="DM38" s="108"/>
      <c r="DN38" s="108"/>
      <c r="DO38" s="108"/>
      <c r="DP38" s="108"/>
      <c r="DQ38" s="108"/>
      <c r="DR38" s="108"/>
      <c r="DS38" s="108"/>
    </row>
    <row r="39" spans="1:123" ht="13.5" thickBot="1">
      <c r="A39" s="169" t="s">
        <v>217</v>
      </c>
      <c r="B39" s="37"/>
      <c r="C39" s="63">
        <f>2.65*$L$15</f>
        <v>2650</v>
      </c>
      <c r="D39" s="36" t="s">
        <v>218</v>
      </c>
      <c r="E39" s="37"/>
      <c r="F39" s="37"/>
      <c r="G39" s="65"/>
      <c r="H39" s="49"/>
      <c r="I39" s="37"/>
      <c r="J39" s="37"/>
      <c r="K39" s="93"/>
      <c r="L39" s="41" t="str">
        <f>IF($A$15="M",N39,M39)</f>
        <v xml:space="preserve">  Oil</v>
      </c>
      <c r="M39" s="77" t="s">
        <v>219</v>
      </c>
      <c r="N39" s="77" t="s">
        <v>219</v>
      </c>
      <c r="O39" s="41"/>
      <c r="P39" s="41"/>
      <c r="Q39" s="41"/>
      <c r="R39" s="41"/>
      <c r="S39" s="20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15" t="s">
        <v>220</v>
      </c>
      <c r="AF39" s="7"/>
      <c r="AG39" s="7"/>
      <c r="AH39" s="7"/>
      <c r="AI39" s="7"/>
      <c r="AJ39" s="7"/>
      <c r="AK39" s="7"/>
      <c r="AL39" s="7"/>
      <c r="AM39" s="35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108"/>
      <c r="DK39" s="108"/>
      <c r="DL39" s="108"/>
      <c r="DM39" s="108"/>
      <c r="DN39" s="108"/>
      <c r="DO39" s="108"/>
      <c r="DP39" s="108"/>
      <c r="DQ39" s="108"/>
      <c r="DR39" s="108"/>
      <c r="DS39" s="108"/>
    </row>
    <row r="40" spans="1:123">
      <c r="A40" s="169"/>
      <c r="B40" s="37"/>
      <c r="C40" s="33"/>
      <c r="D40" s="37"/>
      <c r="E40" s="37"/>
      <c r="F40" s="37"/>
      <c r="G40" s="37"/>
      <c r="H40" s="37"/>
      <c r="I40" s="37"/>
      <c r="J40" s="37"/>
      <c r="K40" s="93"/>
      <c r="L40" s="41" t="str">
        <f>IF($A$15="M",N40,M40)</f>
        <v>10^3m3</v>
      </c>
      <c r="M40" s="77" t="s">
        <v>221</v>
      </c>
      <c r="N40" s="77" t="s">
        <v>221</v>
      </c>
      <c r="O40" s="41"/>
      <c r="P40" s="41"/>
      <c r="Q40" s="41"/>
      <c r="R40" s="41"/>
      <c r="S40" s="20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15" t="s">
        <v>222</v>
      </c>
      <c r="AF40" s="7"/>
      <c r="AG40" s="7"/>
      <c r="AH40" s="7"/>
      <c r="AI40" s="7"/>
      <c r="AJ40" s="7"/>
      <c r="AK40" s="7"/>
      <c r="AL40" s="7"/>
      <c r="AM40" s="35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108"/>
      <c r="DK40" s="108"/>
      <c r="DL40" s="108"/>
      <c r="DM40" s="108"/>
      <c r="DN40" s="108"/>
      <c r="DO40" s="108"/>
      <c r="DP40" s="108"/>
      <c r="DQ40" s="108"/>
      <c r="DR40" s="108"/>
      <c r="DS40" s="108"/>
    </row>
    <row r="41" spans="1:123" ht="13.5" thickBot="1">
      <c r="A41" s="170" t="s">
        <v>223</v>
      </c>
      <c r="B41" s="37"/>
      <c r="C41" s="56" t="s">
        <v>224</v>
      </c>
      <c r="D41" s="37"/>
      <c r="E41" s="37"/>
      <c r="F41" s="37"/>
      <c r="G41" s="37" t="s">
        <v>225</v>
      </c>
      <c r="H41" s="37"/>
      <c r="I41" s="56" t="s">
        <v>226</v>
      </c>
      <c r="J41" s="37"/>
      <c r="K41" s="93"/>
      <c r="L41" s="41"/>
      <c r="M41" s="41"/>
      <c r="N41" s="41"/>
      <c r="O41" s="91"/>
      <c r="P41" s="41"/>
      <c r="Q41" s="41"/>
      <c r="R41" s="41"/>
      <c r="S41" s="20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15"/>
      <c r="AF41" s="7"/>
      <c r="AG41" s="7"/>
      <c r="AH41" s="7"/>
      <c r="AI41" s="7"/>
      <c r="AJ41" s="7"/>
      <c r="AK41" s="7"/>
      <c r="AL41" s="7"/>
      <c r="AM41" s="35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108"/>
      <c r="DK41" s="108"/>
      <c r="DL41" s="108"/>
      <c r="DM41" s="108"/>
      <c r="DN41" s="108"/>
      <c r="DO41" s="108"/>
      <c r="DP41" s="108"/>
      <c r="DQ41" s="108"/>
      <c r="DR41" s="108"/>
      <c r="DS41" s="108"/>
    </row>
    <row r="42" spans="1:123" ht="13.5" thickBot="1">
      <c r="A42" s="172">
        <f>S56</f>
        <v>15.555555555555555</v>
      </c>
      <c r="B42" s="36" t="str">
        <f>$L$30</f>
        <v>'C</v>
      </c>
      <c r="C42" s="38">
        <v>0.62</v>
      </c>
      <c r="D42" s="36"/>
      <c r="E42" s="94"/>
      <c r="F42" s="37"/>
      <c r="G42" s="38">
        <v>0</v>
      </c>
      <c r="H42" s="36"/>
      <c r="I42" s="38">
        <v>1</v>
      </c>
      <c r="J42" s="36"/>
      <c r="K42" s="22"/>
      <c r="L42" s="23"/>
      <c r="M42" s="23"/>
      <c r="N42" s="23"/>
      <c r="O42" s="23"/>
      <c r="P42" s="23"/>
      <c r="Q42" s="23"/>
      <c r="R42" s="23"/>
      <c r="S42" s="95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15" t="s">
        <v>227</v>
      </c>
      <c r="AF42" s="7"/>
      <c r="AG42" s="7"/>
      <c r="AH42" s="7"/>
      <c r="AI42" s="7"/>
      <c r="AJ42" s="7"/>
      <c r="AK42" s="7"/>
      <c r="AL42" s="7"/>
      <c r="AM42" s="35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108"/>
      <c r="DK42" s="108"/>
      <c r="DL42" s="108"/>
      <c r="DM42" s="108"/>
      <c r="DN42" s="108"/>
      <c r="DO42" s="108"/>
      <c r="DP42" s="108"/>
      <c r="DQ42" s="108"/>
      <c r="DR42" s="108"/>
      <c r="DS42" s="108"/>
    </row>
    <row r="43" spans="1:123" ht="13.5" thickBot="1">
      <c r="A43" s="168"/>
      <c r="B43" s="37"/>
      <c r="C43" s="33"/>
      <c r="D43" s="37"/>
      <c r="E43" s="37"/>
      <c r="F43" s="37"/>
      <c r="G43" s="96">
        <f>IF($I$51,G42,0)</f>
        <v>0</v>
      </c>
      <c r="H43" s="37"/>
      <c r="I43" s="33"/>
      <c r="J43" s="37"/>
      <c r="K43" s="97" t="s">
        <v>228</v>
      </c>
      <c r="L43" s="98"/>
      <c r="M43" s="98"/>
      <c r="N43" s="98"/>
      <c r="O43" s="98"/>
      <c r="P43" s="98"/>
      <c r="Q43" s="98"/>
      <c r="R43" s="98"/>
      <c r="S43" s="98"/>
      <c r="T43" s="98"/>
      <c r="U43" s="35"/>
      <c r="V43" s="8"/>
      <c r="W43" s="8"/>
      <c r="X43" s="8"/>
      <c r="Y43" s="8"/>
      <c r="Z43" s="8"/>
      <c r="AA43" s="8"/>
      <c r="AB43" s="8"/>
      <c r="AC43" s="8"/>
      <c r="AD43" s="8"/>
      <c r="AE43" s="15"/>
      <c r="AF43" s="7"/>
      <c r="AG43" s="7"/>
      <c r="AH43" s="7"/>
      <c r="AI43" s="7"/>
      <c r="AJ43" s="7"/>
      <c r="AK43" s="7"/>
      <c r="AL43" s="7"/>
      <c r="AM43" s="35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108"/>
      <c r="DK43" s="108"/>
      <c r="DL43" s="108"/>
      <c r="DM43" s="108"/>
      <c r="DN43" s="108"/>
      <c r="DO43" s="108"/>
      <c r="DP43" s="108"/>
      <c r="DQ43" s="108"/>
      <c r="DR43" s="108"/>
      <c r="DS43" s="108"/>
    </row>
    <row r="44" spans="1:123" ht="13.5" thickBot="1">
      <c r="A44" s="170" t="s">
        <v>229</v>
      </c>
      <c r="B44" s="37"/>
      <c r="C44" s="56" t="s">
        <v>53</v>
      </c>
      <c r="D44" s="37"/>
      <c r="E44" s="37"/>
      <c r="F44" s="37"/>
      <c r="G44" s="56" t="s">
        <v>230</v>
      </c>
      <c r="H44" s="37"/>
      <c r="I44" s="56" t="s">
        <v>231</v>
      </c>
      <c r="J44" s="37"/>
      <c r="K44" s="99" t="s">
        <v>232</v>
      </c>
      <c r="L44" s="18"/>
      <c r="M44" s="18"/>
      <c r="N44" s="18"/>
      <c r="O44" s="18"/>
      <c r="P44" s="18"/>
      <c r="Q44" s="18"/>
      <c r="R44" s="18"/>
      <c r="S44" s="18"/>
      <c r="T44" s="18"/>
      <c r="U44" s="35"/>
      <c r="V44" s="8"/>
      <c r="W44" s="8"/>
      <c r="X44" s="8"/>
      <c r="Y44" s="8"/>
      <c r="Z44" s="8"/>
      <c r="AA44" s="8"/>
      <c r="AB44" s="8"/>
      <c r="AC44" s="8"/>
      <c r="AD44" s="8"/>
      <c r="AE44" s="23"/>
      <c r="AF44" s="23"/>
      <c r="AG44" s="23"/>
      <c r="AH44" s="23"/>
      <c r="AI44" s="23"/>
      <c r="AJ44" s="23"/>
      <c r="AK44" s="23"/>
      <c r="AL44" s="23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108"/>
      <c r="DK44" s="108"/>
      <c r="DL44" s="108"/>
      <c r="DM44" s="108"/>
      <c r="DN44" s="108"/>
      <c r="DO44" s="108"/>
      <c r="DP44" s="108"/>
      <c r="DQ44" s="108"/>
      <c r="DR44" s="108"/>
      <c r="DS44" s="108"/>
    </row>
    <row r="45" spans="1:123" ht="13.5" thickBot="1">
      <c r="A45" s="172">
        <f>S57</f>
        <v>60</v>
      </c>
      <c r="B45" s="36" t="str">
        <f>$L$30</f>
        <v>'C</v>
      </c>
      <c r="C45" s="38">
        <v>2.15</v>
      </c>
      <c r="D45" s="36"/>
      <c r="E45" s="49"/>
      <c r="F45" s="37"/>
      <c r="G45" s="38">
        <v>1</v>
      </c>
      <c r="H45" s="36"/>
      <c r="I45" s="38">
        <v>1</v>
      </c>
      <c r="J45" s="36"/>
      <c r="K45" s="22"/>
      <c r="L45" s="23"/>
      <c r="M45" s="23"/>
      <c r="N45" s="23"/>
      <c r="O45" s="100">
        <v>0</v>
      </c>
      <c r="P45" s="22" t="s">
        <v>233</v>
      </c>
      <c r="Q45" s="23"/>
      <c r="R45" s="100">
        <v>1</v>
      </c>
      <c r="S45" s="22" t="s">
        <v>234</v>
      </c>
      <c r="T45" s="23"/>
      <c r="U45" s="35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108"/>
      <c r="DK45" s="108"/>
      <c r="DL45" s="108"/>
      <c r="DM45" s="108"/>
      <c r="DN45" s="108"/>
      <c r="DO45" s="108"/>
      <c r="DP45" s="108"/>
      <c r="DQ45" s="108"/>
      <c r="DR45" s="108"/>
      <c r="DS45" s="108"/>
    </row>
    <row r="46" spans="1:123" ht="13.5" thickBot="1">
      <c r="A46" s="168"/>
      <c r="B46" s="37"/>
      <c r="C46" s="33"/>
      <c r="D46" s="37"/>
      <c r="E46" s="37"/>
      <c r="F46" s="37"/>
      <c r="G46" s="33"/>
      <c r="H46" s="37"/>
      <c r="I46" s="33"/>
      <c r="J46" s="37"/>
      <c r="K46" s="101" t="s">
        <v>235</v>
      </c>
      <c r="L46" s="8"/>
      <c r="M46" s="8"/>
      <c r="N46" s="8"/>
      <c r="O46" s="100">
        <v>0</v>
      </c>
      <c r="P46" s="35" t="s">
        <v>236</v>
      </c>
      <c r="Q46" s="8"/>
      <c r="R46" s="100">
        <v>0</v>
      </c>
      <c r="S46" s="35" t="s">
        <v>237</v>
      </c>
      <c r="T46" s="8"/>
      <c r="U46" s="35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108"/>
      <c r="DK46" s="108"/>
      <c r="DL46" s="108"/>
      <c r="DM46" s="108"/>
      <c r="DN46" s="108"/>
      <c r="DO46" s="108"/>
      <c r="DP46" s="108"/>
      <c r="DQ46" s="108"/>
      <c r="DR46" s="108"/>
      <c r="DS46" s="108"/>
    </row>
    <row r="47" spans="1:123" ht="13.5" thickBot="1">
      <c r="A47" s="170" t="s">
        <v>238</v>
      </c>
      <c r="B47" s="37"/>
      <c r="C47" s="56" t="s">
        <v>239</v>
      </c>
      <c r="D47" s="37"/>
      <c r="E47" s="37"/>
      <c r="F47" s="37"/>
      <c r="G47" s="56" t="s">
        <v>240</v>
      </c>
      <c r="H47" s="37"/>
      <c r="I47" s="56" t="s">
        <v>241</v>
      </c>
      <c r="J47" s="37"/>
      <c r="K47" s="101" t="s">
        <v>242</v>
      </c>
      <c r="L47" s="8"/>
      <c r="M47" s="8"/>
      <c r="N47" s="8"/>
      <c r="O47" s="23"/>
      <c r="P47" s="8"/>
      <c r="Q47" s="8"/>
      <c r="R47" s="100">
        <v>0</v>
      </c>
      <c r="S47" s="35" t="s">
        <v>243</v>
      </c>
      <c r="T47" s="8"/>
      <c r="U47" s="35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108"/>
      <c r="DK47" s="108"/>
      <c r="DL47" s="108"/>
      <c r="DM47" s="108"/>
      <c r="DN47" s="108"/>
      <c r="DO47" s="108"/>
      <c r="DP47" s="108"/>
      <c r="DQ47" s="108"/>
      <c r="DR47" s="108"/>
      <c r="DS47" s="108"/>
    </row>
    <row r="48" spans="1:123" ht="13.5" thickBot="1">
      <c r="A48" s="172">
        <f>S58</f>
        <v>2600.2488000000026</v>
      </c>
      <c r="B48" s="36" t="str">
        <f>$L$24</f>
        <v>meters</v>
      </c>
      <c r="C48" s="38">
        <v>2</v>
      </c>
      <c r="D48" s="36"/>
      <c r="E48" s="49"/>
      <c r="F48" s="37"/>
      <c r="G48" s="63">
        <v>100000</v>
      </c>
      <c r="H48" s="36"/>
      <c r="I48" s="38">
        <v>1</v>
      </c>
      <c r="J48" s="36"/>
      <c r="K48" s="35"/>
      <c r="L48" s="8" t="s">
        <v>244</v>
      </c>
      <c r="M48" s="8"/>
      <c r="N48" s="8" t="s">
        <v>245</v>
      </c>
      <c r="O48" s="8"/>
      <c r="P48" s="8"/>
      <c r="Q48" s="8"/>
      <c r="R48" s="23"/>
      <c r="S48" s="28">
        <v>100</v>
      </c>
      <c r="T48" s="35" t="s">
        <v>246</v>
      </c>
      <c r="U48" s="35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108"/>
      <c r="DK48" s="108"/>
      <c r="DL48" s="108"/>
      <c r="DM48" s="108"/>
      <c r="DN48" s="108"/>
      <c r="DO48" s="108"/>
      <c r="DP48" s="108"/>
      <c r="DQ48" s="108"/>
      <c r="DR48" s="108"/>
      <c r="DS48" s="108"/>
    </row>
    <row r="49" spans="1:123" ht="13.5" thickBot="1">
      <c r="A49" s="168"/>
      <c r="B49" s="37"/>
      <c r="C49" s="33"/>
      <c r="D49" s="37"/>
      <c r="E49" s="37"/>
      <c r="F49" s="37"/>
      <c r="G49" s="33"/>
      <c r="H49" s="37"/>
      <c r="I49" s="33"/>
      <c r="J49" s="37"/>
      <c r="K49" s="35"/>
      <c r="L49" s="8" t="s">
        <v>247</v>
      </c>
      <c r="M49" s="8"/>
      <c r="N49" s="8" t="s">
        <v>248</v>
      </c>
      <c r="O49" s="8"/>
      <c r="P49" s="8"/>
      <c r="Q49" s="8"/>
      <c r="R49" s="8"/>
      <c r="S49" s="100">
        <f>6726/$L$9</f>
        <v>2050.0848000000024</v>
      </c>
      <c r="T49" s="35" t="str">
        <f>$L$24</f>
        <v>meters</v>
      </c>
      <c r="U49" s="35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108"/>
      <c r="DK49" s="108"/>
      <c r="DL49" s="108"/>
      <c r="DM49" s="108"/>
      <c r="DN49" s="108"/>
      <c r="DO49" s="108"/>
      <c r="DP49" s="108"/>
      <c r="DQ49" s="108"/>
      <c r="DR49" s="108"/>
      <c r="DS49" s="108"/>
    </row>
    <row r="50" spans="1:123" ht="13.5" thickBot="1">
      <c r="A50" s="170" t="s">
        <v>249</v>
      </c>
      <c r="B50" s="37"/>
      <c r="C50" s="37" t="s">
        <v>250</v>
      </c>
      <c r="D50" s="37"/>
      <c r="E50" s="37"/>
      <c r="F50" s="37"/>
      <c r="G50" s="56" t="s">
        <v>251</v>
      </c>
      <c r="H50" s="37"/>
      <c r="I50" s="56" t="s">
        <v>252</v>
      </c>
      <c r="J50" s="37"/>
      <c r="K50" s="35"/>
      <c r="L50" s="8" t="s">
        <v>253</v>
      </c>
      <c r="M50" s="8"/>
      <c r="N50" s="8" t="s">
        <v>254</v>
      </c>
      <c r="O50" s="8"/>
      <c r="P50" s="8"/>
      <c r="Q50" s="8"/>
      <c r="R50" s="8"/>
      <c r="S50" s="26">
        <v>0.21</v>
      </c>
      <c r="T50" s="35" t="s">
        <v>23</v>
      </c>
      <c r="U50" s="35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108"/>
      <c r="DK50" s="108"/>
      <c r="DL50" s="108"/>
      <c r="DM50" s="108"/>
      <c r="DN50" s="108"/>
      <c r="DO50" s="108"/>
      <c r="DP50" s="108"/>
      <c r="DQ50" s="108"/>
      <c r="DR50" s="108"/>
      <c r="DS50" s="108"/>
    </row>
    <row r="51" spans="1:123" ht="13.5" thickBot="1">
      <c r="A51" s="172">
        <f>S64</f>
        <v>50.596387032912652</v>
      </c>
      <c r="B51" s="36" t="str">
        <f>$L$30</f>
        <v>'C</v>
      </c>
      <c r="C51" s="60">
        <v>0.03</v>
      </c>
      <c r="D51" s="36"/>
      <c r="E51" s="49"/>
      <c r="F51" s="37"/>
      <c r="G51" s="38">
        <v>0.3</v>
      </c>
      <c r="H51" s="36" t="s">
        <v>23</v>
      </c>
      <c r="I51" s="63">
        <v>0</v>
      </c>
      <c r="J51" s="36"/>
      <c r="K51" s="35"/>
      <c r="L51" s="8" t="s">
        <v>253</v>
      </c>
      <c r="M51" s="8"/>
      <c r="N51" s="8" t="s">
        <v>255</v>
      </c>
      <c r="O51" s="8"/>
      <c r="P51" s="8"/>
      <c r="Q51" s="8"/>
      <c r="R51" s="8"/>
      <c r="S51" s="26">
        <v>1.2</v>
      </c>
      <c r="T51" s="35" t="s">
        <v>77</v>
      </c>
      <c r="U51" s="35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108"/>
      <c r="DK51" s="108"/>
      <c r="DL51" s="108"/>
      <c r="DM51" s="108"/>
      <c r="DN51" s="108"/>
      <c r="DO51" s="108"/>
      <c r="DP51" s="108"/>
      <c r="DQ51" s="108"/>
      <c r="DR51" s="108"/>
      <c r="DS51" s="108"/>
    </row>
    <row r="52" spans="1:123" ht="13.5" thickBot="1">
      <c r="A52" s="168"/>
      <c r="B52" s="37"/>
      <c r="C52" s="33"/>
      <c r="D52" s="37"/>
      <c r="E52" s="37"/>
      <c r="F52" s="37"/>
      <c r="G52" s="33"/>
      <c r="H52" s="37" t="s">
        <v>256</v>
      </c>
      <c r="I52" s="33"/>
      <c r="J52" s="37"/>
      <c r="K52" s="35"/>
      <c r="L52" s="8" t="s">
        <v>257</v>
      </c>
      <c r="M52" s="8"/>
      <c r="N52" s="8" t="s">
        <v>258</v>
      </c>
      <c r="O52" s="8"/>
      <c r="P52" s="8"/>
      <c r="Q52" s="8"/>
      <c r="R52" s="8"/>
      <c r="S52" s="100">
        <v>-60</v>
      </c>
      <c r="T52" s="35" t="s">
        <v>79</v>
      </c>
      <c r="U52" s="35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108"/>
      <c r="DK52" s="108"/>
      <c r="DL52" s="108"/>
      <c r="DM52" s="108"/>
      <c r="DN52" s="108"/>
      <c r="DO52" s="108"/>
      <c r="DP52" s="108"/>
      <c r="DQ52" s="108"/>
      <c r="DR52" s="108"/>
      <c r="DS52" s="108"/>
    </row>
    <row r="53" spans="1:123" ht="13.5" thickBot="1">
      <c r="A53" s="169" t="s">
        <v>259</v>
      </c>
      <c r="B53" s="37"/>
      <c r="C53" s="56" t="s">
        <v>7</v>
      </c>
      <c r="D53" s="37"/>
      <c r="E53" s="56" t="s">
        <v>8</v>
      </c>
      <c r="F53" s="37"/>
      <c r="G53" s="56" t="s">
        <v>9</v>
      </c>
      <c r="H53" s="37"/>
      <c r="I53" s="56" t="s">
        <v>260</v>
      </c>
      <c r="J53" s="37"/>
      <c r="K53" s="35"/>
      <c r="L53" s="8" t="s">
        <v>257</v>
      </c>
      <c r="M53" s="8"/>
      <c r="N53" s="8" t="s">
        <v>261</v>
      </c>
      <c r="O53" s="8"/>
      <c r="P53" s="8"/>
      <c r="Q53" s="8"/>
      <c r="R53" s="8"/>
      <c r="S53" s="26">
        <v>0.4</v>
      </c>
      <c r="T53" s="35" t="s">
        <v>77</v>
      </c>
      <c r="U53" s="35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108"/>
      <c r="DK53" s="108"/>
      <c r="DL53" s="108"/>
      <c r="DM53" s="108"/>
      <c r="DN53" s="108"/>
      <c r="DO53" s="108"/>
      <c r="DP53" s="108"/>
      <c r="DQ53" s="108"/>
      <c r="DR53" s="108"/>
      <c r="DS53" s="108"/>
    </row>
    <row r="54" spans="1:123" ht="13.5" thickBot="1">
      <c r="A54" s="173"/>
      <c r="B54" s="37" t="s">
        <v>262</v>
      </c>
      <c r="C54" s="38">
        <v>1</v>
      </c>
      <c r="D54" s="36"/>
      <c r="E54" s="38">
        <v>0</v>
      </c>
      <c r="F54" s="36"/>
      <c r="G54" s="38">
        <v>1</v>
      </c>
      <c r="H54" s="36"/>
      <c r="I54" s="38">
        <v>0</v>
      </c>
      <c r="J54" s="36"/>
      <c r="K54" s="35"/>
      <c r="L54" s="8" t="s">
        <v>263</v>
      </c>
      <c r="M54" s="8"/>
      <c r="N54" s="8" t="s">
        <v>264</v>
      </c>
      <c r="O54" s="8"/>
      <c r="P54" s="8"/>
      <c r="Q54" s="8"/>
      <c r="R54" s="8"/>
      <c r="S54" s="27">
        <v>4.6862190138426803E-2</v>
      </c>
      <c r="T54" s="35" t="s">
        <v>77</v>
      </c>
      <c r="U54" s="35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108"/>
      <c r="DK54" s="108"/>
      <c r="DL54" s="108"/>
      <c r="DM54" s="108"/>
      <c r="DN54" s="108"/>
      <c r="DO54" s="108"/>
      <c r="DP54" s="108"/>
      <c r="DQ54" s="108"/>
      <c r="DR54" s="108"/>
      <c r="DS54" s="108"/>
    </row>
    <row r="55" spans="1:123" ht="13.5" thickBot="1">
      <c r="A55" s="173"/>
      <c r="B55" s="37" t="s">
        <v>265</v>
      </c>
      <c r="C55" s="38">
        <v>0.4</v>
      </c>
      <c r="D55" s="36"/>
      <c r="E55" s="38">
        <v>0.08</v>
      </c>
      <c r="F55" s="36"/>
      <c r="G55" s="38">
        <v>0.6</v>
      </c>
      <c r="H55" s="36"/>
      <c r="I55" s="38">
        <v>1</v>
      </c>
      <c r="J55" s="36"/>
      <c r="K55" s="35"/>
      <c r="L55" s="8" t="s">
        <v>263</v>
      </c>
      <c r="M55" s="8"/>
      <c r="N55" s="8" t="s">
        <v>266</v>
      </c>
      <c r="O55" s="8"/>
      <c r="P55" s="8"/>
      <c r="Q55" s="8"/>
      <c r="R55" s="8"/>
      <c r="S55" s="100">
        <f>(122-$L$8)/$L$7</f>
        <v>50</v>
      </c>
      <c r="T55" s="35" t="str">
        <f>$L$30</f>
        <v>'C</v>
      </c>
      <c r="U55" s="35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108"/>
      <c r="DK55" s="108"/>
      <c r="DL55" s="108"/>
      <c r="DM55" s="108"/>
      <c r="DN55" s="108"/>
      <c r="DO55" s="108"/>
      <c r="DP55" s="108"/>
      <c r="DQ55" s="108"/>
      <c r="DR55" s="108"/>
      <c r="DS55" s="108"/>
    </row>
    <row r="56" spans="1:123" ht="13.5" thickBot="1">
      <c r="A56" s="169"/>
      <c r="B56" s="37" t="s">
        <v>267</v>
      </c>
      <c r="C56" s="38">
        <v>0.25</v>
      </c>
      <c r="D56" s="36"/>
      <c r="E56" s="38">
        <v>0.1</v>
      </c>
      <c r="F56" s="36"/>
      <c r="G56" s="38">
        <v>0.3</v>
      </c>
      <c r="H56" s="36"/>
      <c r="I56" s="38">
        <v>2</v>
      </c>
      <c r="J56" s="36"/>
      <c r="K56" s="35"/>
      <c r="L56" s="8" t="s">
        <v>268</v>
      </c>
      <c r="M56" s="8"/>
      <c r="N56" s="8" t="s">
        <v>269</v>
      </c>
      <c r="O56" s="8"/>
      <c r="P56" s="8"/>
      <c r="Q56" s="8"/>
      <c r="R56" s="8"/>
      <c r="S56" s="100">
        <f>(60-$L$8)/$L$7</f>
        <v>15.555555555555555</v>
      </c>
      <c r="T56" s="35" t="str">
        <f>$L$30</f>
        <v>'C</v>
      </c>
      <c r="U56" s="35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108"/>
      <c r="DK56" s="108"/>
      <c r="DL56" s="108"/>
      <c r="DM56" s="108"/>
      <c r="DN56" s="108"/>
      <c r="DO56" s="108"/>
      <c r="DP56" s="108"/>
      <c r="DQ56" s="108"/>
      <c r="DR56" s="108"/>
      <c r="DS56" s="108"/>
    </row>
    <row r="57" spans="1:123" ht="13.5" thickBot="1">
      <c r="A57" s="169"/>
      <c r="B57" s="37"/>
      <c r="C57" s="33"/>
      <c r="D57" s="37"/>
      <c r="E57" s="33"/>
      <c r="F57" s="37"/>
      <c r="G57" s="33"/>
      <c r="H57" s="37"/>
      <c r="I57" s="33"/>
      <c r="J57" s="37"/>
      <c r="K57" s="35"/>
      <c r="L57" s="8" t="s">
        <v>268</v>
      </c>
      <c r="M57" s="8"/>
      <c r="N57" s="8" t="s">
        <v>270</v>
      </c>
      <c r="O57" s="8"/>
      <c r="P57" s="8"/>
      <c r="Q57" s="8"/>
      <c r="R57" s="8"/>
      <c r="S57" s="100">
        <f>(140-$L$8)/$L$7</f>
        <v>60</v>
      </c>
      <c r="T57" s="35" t="str">
        <f>$L$30</f>
        <v>'C</v>
      </c>
      <c r="U57" s="35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108"/>
      <c r="DK57" s="108"/>
      <c r="DL57" s="108"/>
      <c r="DM57" s="108"/>
      <c r="DN57" s="108"/>
      <c r="DO57" s="108"/>
      <c r="DP57" s="108"/>
      <c r="DQ57" s="108"/>
      <c r="DR57" s="108"/>
      <c r="DS57" s="108"/>
    </row>
    <row r="58" spans="1:123" ht="13.5" thickBot="1">
      <c r="A58" s="169" t="s">
        <v>271</v>
      </c>
      <c r="B58" s="37"/>
      <c r="C58" s="37" t="s">
        <v>272</v>
      </c>
      <c r="D58" s="37"/>
      <c r="E58" s="37" t="s">
        <v>273</v>
      </c>
      <c r="F58" s="37"/>
      <c r="G58" s="37" t="s">
        <v>274</v>
      </c>
      <c r="H58" s="37"/>
      <c r="I58" s="37" t="s">
        <v>275</v>
      </c>
      <c r="J58" s="36"/>
      <c r="K58" s="35"/>
      <c r="L58" s="8" t="s">
        <v>268</v>
      </c>
      <c r="M58" s="8"/>
      <c r="N58" s="8" t="s">
        <v>276</v>
      </c>
      <c r="O58" s="8"/>
      <c r="P58" s="8"/>
      <c r="Q58" s="8"/>
      <c r="R58" s="8"/>
      <c r="S58" s="100">
        <f>8531/$L$9</f>
        <v>2600.2488000000026</v>
      </c>
      <c r="T58" s="35" t="str">
        <f>$L$24</f>
        <v>meters</v>
      </c>
      <c r="U58" s="35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108"/>
      <c r="DK58" s="108"/>
      <c r="DL58" s="108"/>
      <c r="DM58" s="108"/>
      <c r="DN58" s="108"/>
      <c r="DO58" s="108"/>
      <c r="DP58" s="108"/>
      <c r="DQ58" s="108"/>
      <c r="DR58" s="108"/>
      <c r="DS58" s="108"/>
    </row>
    <row r="59" spans="1:123" ht="13.5" thickBot="1">
      <c r="A59" s="172">
        <v>0</v>
      </c>
      <c r="B59" s="36" t="s">
        <v>277</v>
      </c>
      <c r="C59" s="63">
        <v>1</v>
      </c>
      <c r="D59" s="36" t="s">
        <v>278</v>
      </c>
      <c r="E59" s="63">
        <v>1</v>
      </c>
      <c r="F59" s="36" t="s">
        <v>279</v>
      </c>
      <c r="G59" s="63">
        <v>1</v>
      </c>
      <c r="H59" s="36" t="s">
        <v>280</v>
      </c>
      <c r="I59" s="63">
        <v>0</v>
      </c>
      <c r="J59" s="36" t="s">
        <v>277</v>
      </c>
      <c r="K59" s="35"/>
      <c r="L59" s="8" t="s">
        <v>268</v>
      </c>
      <c r="M59" s="8"/>
      <c r="N59" s="8" t="s">
        <v>281</v>
      </c>
      <c r="O59" s="8"/>
      <c r="P59" s="8"/>
      <c r="Q59" s="8"/>
      <c r="R59" s="8"/>
      <c r="S59" s="100">
        <f>6726/$L$9</f>
        <v>2050.0848000000024</v>
      </c>
      <c r="T59" s="35" t="str">
        <f>$L$24</f>
        <v>meters</v>
      </c>
      <c r="U59" s="35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108"/>
      <c r="DK59" s="108"/>
      <c r="DL59" s="108"/>
      <c r="DM59" s="108"/>
      <c r="DN59" s="108"/>
      <c r="DO59" s="108"/>
      <c r="DP59" s="108"/>
      <c r="DQ59" s="108"/>
      <c r="DR59" s="108"/>
      <c r="DS59" s="108"/>
    </row>
    <row r="60" spans="1:123" ht="13.5" thickBot="1">
      <c r="A60" s="172">
        <v>1</v>
      </c>
      <c r="B60" s="36" t="s">
        <v>282</v>
      </c>
      <c r="C60" s="63">
        <v>1</v>
      </c>
      <c r="D60" s="36" t="s">
        <v>283</v>
      </c>
      <c r="E60" s="63">
        <v>1</v>
      </c>
      <c r="F60" s="36" t="s">
        <v>284</v>
      </c>
      <c r="G60" s="63">
        <v>0</v>
      </c>
      <c r="H60" s="36" t="s">
        <v>285</v>
      </c>
      <c r="I60" s="63">
        <v>1</v>
      </c>
      <c r="J60" s="36" t="s">
        <v>286</v>
      </c>
      <c r="K60" s="102"/>
      <c r="L60" s="98" t="s">
        <v>287</v>
      </c>
      <c r="M60" s="98"/>
      <c r="N60" s="98"/>
      <c r="O60" s="98"/>
      <c r="P60" s="98"/>
      <c r="Q60" s="98"/>
      <c r="R60" s="98"/>
      <c r="S60" s="98"/>
      <c r="T60" s="98"/>
      <c r="U60" s="35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108"/>
      <c r="DK60" s="108"/>
      <c r="DL60" s="108"/>
      <c r="DM60" s="108"/>
      <c r="DN60" s="108"/>
      <c r="DO60" s="108"/>
      <c r="DP60" s="108"/>
      <c r="DQ60" s="108"/>
      <c r="DR60" s="108"/>
      <c r="DS60" s="108"/>
    </row>
    <row r="61" spans="1:123" ht="13.5" thickBot="1">
      <c r="A61" s="172">
        <v>0</v>
      </c>
      <c r="B61" s="36" t="s">
        <v>288</v>
      </c>
      <c r="C61" s="63">
        <v>1</v>
      </c>
      <c r="D61" s="36" t="s">
        <v>289</v>
      </c>
      <c r="E61" s="63">
        <v>0</v>
      </c>
      <c r="F61" s="36" t="s">
        <v>290</v>
      </c>
      <c r="G61" s="63">
        <v>0</v>
      </c>
      <c r="H61" s="36" t="s">
        <v>291</v>
      </c>
      <c r="I61" s="63">
        <v>1</v>
      </c>
      <c r="J61" s="36" t="s">
        <v>292</v>
      </c>
      <c r="K61" s="99"/>
      <c r="L61" s="18" t="s">
        <v>293</v>
      </c>
      <c r="M61" s="103">
        <f>IF(O45,(400/P64/S48)^0.88,10^6)</f>
        <v>1000000</v>
      </c>
      <c r="N61" s="18" t="s">
        <v>294</v>
      </c>
      <c r="O61" s="103">
        <f>IF(O46,-(0.58-10^(0.69*0.85*$S$53/10^(-$S$52/(60+0.122*$P$64))-0.24)),10^6)</f>
        <v>1000000</v>
      </c>
      <c r="P61" s="18" t="s">
        <v>295</v>
      </c>
      <c r="Q61" s="103">
        <f>IF(R45,(S50^$C$45)*S51/$C$42,10^6)</f>
        <v>6.7539997500522475E-2</v>
      </c>
      <c r="R61" s="18" t="s">
        <v>296</v>
      </c>
      <c r="S61" s="103">
        <f>IF(R46,+S54*(S55+$L$6)/(S64+$L$6),10^6)</f>
        <v>1000000</v>
      </c>
      <c r="T61" s="18" t="s">
        <v>77</v>
      </c>
      <c r="U61" s="35"/>
      <c r="V61" s="8"/>
      <c r="W61" s="8"/>
      <c r="X61" s="8"/>
      <c r="Y61" s="8"/>
      <c r="Z61" s="8"/>
      <c r="AA61" s="104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108"/>
      <c r="DK61" s="108"/>
      <c r="DL61" s="108"/>
      <c r="DM61" s="108"/>
      <c r="DN61" s="108"/>
      <c r="DO61" s="108"/>
      <c r="DP61" s="108"/>
      <c r="DQ61" s="108"/>
      <c r="DR61" s="108"/>
      <c r="DS61" s="108"/>
    </row>
    <row r="62" spans="1:123" ht="13.5" thickBot="1">
      <c r="A62" s="172">
        <v>1</v>
      </c>
      <c r="B62" s="36" t="s">
        <v>297</v>
      </c>
      <c r="C62" s="63">
        <v>1</v>
      </c>
      <c r="D62" s="36" t="s">
        <v>298</v>
      </c>
      <c r="E62" s="63">
        <v>0</v>
      </c>
      <c r="F62" s="36" t="s">
        <v>299</v>
      </c>
      <c r="G62" s="63">
        <v>0</v>
      </c>
      <c r="H62" s="36" t="s">
        <v>300</v>
      </c>
      <c r="I62" s="63">
        <v>1</v>
      </c>
      <c r="J62" s="36" t="s">
        <v>301</v>
      </c>
      <c r="K62" s="99"/>
      <c r="L62" s="18"/>
      <c r="M62" s="18"/>
      <c r="N62" s="18"/>
      <c r="O62" s="18"/>
      <c r="P62" s="18"/>
      <c r="Q62" s="18"/>
      <c r="R62" s="18"/>
      <c r="S62" s="18"/>
      <c r="T62" s="18"/>
      <c r="U62" s="35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108"/>
      <c r="DK62" s="108"/>
      <c r="DL62" s="108"/>
      <c r="DM62" s="108"/>
      <c r="DN62" s="108"/>
      <c r="DO62" s="108"/>
      <c r="DP62" s="108"/>
      <c r="DQ62" s="108"/>
      <c r="DR62" s="108"/>
      <c r="DS62" s="108"/>
    </row>
    <row r="63" spans="1:123" ht="13.5" thickBot="1">
      <c r="A63" s="172">
        <v>1</v>
      </c>
      <c r="B63" s="36" t="s">
        <v>302</v>
      </c>
      <c r="C63" s="63">
        <v>1</v>
      </c>
      <c r="D63" s="36" t="s">
        <v>290</v>
      </c>
      <c r="E63" s="105"/>
      <c r="F63" s="37"/>
      <c r="G63" s="33"/>
      <c r="H63" s="37"/>
      <c r="I63" s="63">
        <v>1</v>
      </c>
      <c r="J63" s="36" t="s">
        <v>303</v>
      </c>
      <c r="K63" s="99"/>
      <c r="L63" s="18" t="s">
        <v>304</v>
      </c>
      <c r="M63" s="18"/>
      <c r="N63" s="18" t="s">
        <v>305</v>
      </c>
      <c r="O63" s="18"/>
      <c r="P63" s="18"/>
      <c r="Q63" s="18"/>
      <c r="R63" s="18"/>
      <c r="S63" s="103">
        <f>IF(AND(ABS(R46),R47=0),S61,IF(AND(ABS(R45),R47=0),Q61,IF(AND(ABS(O46),R47=0),O61,IF(AND(ABS(O45),R47=0),M61,IF(R47,MIN(M61*IF(O45,1,99),O61*IF(O46,1,99),Q61*IF(R45,1,99),S61*IF(R46,1,99)),0.25)))))</f>
        <v>6.7539997500522475E-2</v>
      </c>
      <c r="T63" s="18" t="s">
        <v>77</v>
      </c>
      <c r="U63" s="35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108"/>
      <c r="DK63" s="108"/>
      <c r="DL63" s="108"/>
      <c r="DM63" s="108"/>
      <c r="DN63" s="108"/>
      <c r="DO63" s="108"/>
      <c r="DP63" s="108"/>
      <c r="DQ63" s="108"/>
      <c r="DR63" s="108"/>
      <c r="DS63" s="108"/>
    </row>
    <row r="64" spans="1:123" ht="13.5" thickBot="1">
      <c r="A64" s="172">
        <v>1</v>
      </c>
      <c r="B64" s="36" t="s">
        <v>306</v>
      </c>
      <c r="C64" s="63">
        <v>1</v>
      </c>
      <c r="D64" s="36" t="s">
        <v>307</v>
      </c>
      <c r="E64" s="94"/>
      <c r="F64" s="37"/>
      <c r="G64" s="37" t="s">
        <v>308</v>
      </c>
      <c r="H64" s="44">
        <v>22</v>
      </c>
      <c r="I64" s="63">
        <v>1</v>
      </c>
      <c r="J64" s="36" t="s">
        <v>309</v>
      </c>
      <c r="K64" s="99"/>
      <c r="L64" s="18"/>
      <c r="M64" s="18"/>
      <c r="N64" s="18" t="s">
        <v>310</v>
      </c>
      <c r="O64" s="18"/>
      <c r="P64" s="106">
        <f>IF($A$15="M",9/5*S64+32,S64)</f>
        <v>123.07349665924278</v>
      </c>
      <c r="Q64" s="18" t="s">
        <v>149</v>
      </c>
      <c r="R64" s="18"/>
      <c r="S64" s="106">
        <f>S56+(S57-S56)/S58*S59</f>
        <v>50.596387032912652</v>
      </c>
      <c r="T64" s="18" t="str">
        <f>$L$30</f>
        <v>'C</v>
      </c>
      <c r="U64" s="35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108"/>
      <c r="DK64" s="108"/>
      <c r="DL64" s="108"/>
      <c r="DM64" s="108"/>
      <c r="DN64" s="108"/>
      <c r="DO64" s="108"/>
      <c r="DP64" s="108"/>
      <c r="DQ64" s="108"/>
      <c r="DR64" s="108"/>
      <c r="DS64" s="108"/>
    </row>
    <row r="65" spans="1:123" ht="13.5" thickBot="1">
      <c r="A65" s="168"/>
      <c r="B65" s="37"/>
      <c r="C65" s="63">
        <v>0</v>
      </c>
      <c r="D65" s="36" t="s">
        <v>311</v>
      </c>
      <c r="E65" s="94" t="s">
        <v>29</v>
      </c>
      <c r="F65" s="37"/>
      <c r="G65" s="37" t="s">
        <v>312</v>
      </c>
      <c r="H65" s="38">
        <v>-2</v>
      </c>
      <c r="I65" s="63">
        <v>1</v>
      </c>
      <c r="J65" s="36" t="s">
        <v>313</v>
      </c>
      <c r="K65" s="99"/>
      <c r="L65" s="18"/>
      <c r="M65" s="18"/>
      <c r="N65" s="18"/>
      <c r="O65" s="18"/>
      <c r="P65" s="18"/>
      <c r="Q65" s="18"/>
      <c r="R65" s="18"/>
      <c r="S65" s="18"/>
      <c r="T65" s="18"/>
      <c r="U65" s="35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108"/>
      <c r="DK65" s="108"/>
      <c r="DL65" s="108"/>
      <c r="DM65" s="108"/>
      <c r="DN65" s="108"/>
      <c r="DO65" s="108"/>
      <c r="DP65" s="108"/>
      <c r="DQ65" s="108"/>
      <c r="DR65" s="108"/>
      <c r="DS65" s="108"/>
    </row>
    <row r="66" spans="1:123" ht="13.5" thickBot="1">
      <c r="A66" s="169"/>
      <c r="B66" s="37"/>
      <c r="C66" s="63">
        <v>0</v>
      </c>
      <c r="D66" s="36" t="s">
        <v>251</v>
      </c>
      <c r="E66" s="37"/>
      <c r="F66" s="37"/>
      <c r="G66" s="37"/>
      <c r="H66" s="48"/>
      <c r="I66" s="33"/>
      <c r="J66" s="37"/>
      <c r="K66" s="99"/>
      <c r="L66" s="18" t="s">
        <v>314</v>
      </c>
      <c r="M66" s="18"/>
      <c r="N66" s="18"/>
      <c r="O66" s="18"/>
      <c r="P66" s="18"/>
      <c r="Q66" s="18"/>
      <c r="R66" s="18"/>
      <c r="S66" s="18"/>
      <c r="T66" s="18"/>
      <c r="U66" s="35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108"/>
      <c r="DK66" s="108"/>
      <c r="DL66" s="108"/>
      <c r="DM66" s="108"/>
      <c r="DN66" s="108"/>
      <c r="DO66" s="108"/>
      <c r="DP66" s="108"/>
      <c r="DQ66" s="108"/>
      <c r="DR66" s="108"/>
      <c r="DS66" s="108"/>
    </row>
    <row r="67" spans="1:123" ht="13.5" thickBot="1">
      <c r="A67" s="169"/>
      <c r="B67" s="37" t="s">
        <v>315</v>
      </c>
      <c r="C67" s="33" t="s">
        <v>315</v>
      </c>
      <c r="D67" s="37" t="s">
        <v>315</v>
      </c>
      <c r="E67" s="37" t="s">
        <v>315</v>
      </c>
      <c r="F67" s="37" t="s">
        <v>315</v>
      </c>
      <c r="G67" s="37" t="s">
        <v>315</v>
      </c>
      <c r="H67" s="37" t="s">
        <v>315</v>
      </c>
      <c r="I67" s="37" t="s">
        <v>315</v>
      </c>
      <c r="J67" s="37" t="s">
        <v>316</v>
      </c>
      <c r="K67" s="99"/>
      <c r="L67" s="18" t="s">
        <v>317</v>
      </c>
      <c r="M67" s="18"/>
      <c r="N67" s="18"/>
      <c r="O67" s="18"/>
      <c r="P67" s="18"/>
      <c r="Q67" s="18"/>
      <c r="R67" s="18"/>
      <c r="S67" s="18"/>
      <c r="T67" s="18"/>
      <c r="U67" s="35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>
        <v>67</v>
      </c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108"/>
      <c r="DK67" s="108"/>
      <c r="DL67" s="108"/>
      <c r="DM67" s="108"/>
      <c r="DN67" s="108"/>
      <c r="DO67" s="108"/>
      <c r="DP67" s="108"/>
      <c r="DQ67" s="108"/>
      <c r="DR67" s="108"/>
      <c r="DS67" s="108"/>
    </row>
    <row r="68" spans="1:123">
      <c r="A68" s="174"/>
      <c r="B68" s="111"/>
      <c r="C68" s="111"/>
      <c r="D68" s="111"/>
      <c r="E68" s="111"/>
      <c r="F68" s="111"/>
      <c r="G68" s="111" t="s">
        <v>318</v>
      </c>
      <c r="H68" s="111"/>
      <c r="I68" s="111"/>
      <c r="J68" s="111"/>
      <c r="K68" s="111"/>
      <c r="L68" s="111"/>
      <c r="M68" s="107"/>
      <c r="N68" s="111"/>
      <c r="O68" s="111"/>
      <c r="P68" s="111"/>
      <c r="Q68" s="112" t="s">
        <v>319</v>
      </c>
      <c r="R68" s="111"/>
      <c r="S68" s="111"/>
      <c r="T68" s="111"/>
      <c r="U68" s="111"/>
      <c r="V68" s="111"/>
      <c r="W68" s="111"/>
      <c r="X68" s="112"/>
      <c r="Y68" s="111"/>
      <c r="Z68" s="111"/>
      <c r="AA68" s="107"/>
      <c r="AB68" s="111" t="s">
        <v>320</v>
      </c>
      <c r="AC68" s="111"/>
      <c r="AD68" s="111"/>
      <c r="AE68" s="111"/>
      <c r="AF68" s="111"/>
      <c r="AG68" s="111"/>
      <c r="AH68" s="111"/>
      <c r="AI68" s="111"/>
      <c r="AJ68" s="111" t="s">
        <v>321</v>
      </c>
      <c r="AK68" s="111"/>
      <c r="AL68" s="111"/>
      <c r="AM68" s="111"/>
      <c r="AN68" s="111"/>
      <c r="AO68" s="111" t="s">
        <v>300</v>
      </c>
      <c r="AP68" s="111"/>
      <c r="AQ68" s="111"/>
      <c r="AR68" s="111"/>
      <c r="AS68" s="111" t="s">
        <v>322</v>
      </c>
      <c r="AT68" s="111" t="s">
        <v>323</v>
      </c>
      <c r="AU68" s="111" t="s">
        <v>324</v>
      </c>
      <c r="AV68" s="113" t="s">
        <v>325</v>
      </c>
      <c r="AW68" s="113" t="s">
        <v>326</v>
      </c>
      <c r="AX68" s="111" t="s">
        <v>327</v>
      </c>
      <c r="AY68" s="111"/>
      <c r="AZ68" s="111"/>
      <c r="BA68" s="111"/>
      <c r="BB68" s="111"/>
      <c r="BC68" s="111"/>
      <c r="BD68" s="111"/>
      <c r="BE68" s="111"/>
      <c r="BF68" s="111"/>
      <c r="BG68" s="111" t="s">
        <v>328</v>
      </c>
      <c r="BH68" s="111"/>
      <c r="BI68" s="111"/>
      <c r="BJ68" s="111"/>
      <c r="BK68" s="111" t="s">
        <v>329</v>
      </c>
      <c r="BL68" s="111"/>
      <c r="BM68" s="111"/>
      <c r="BN68" s="111"/>
      <c r="BO68" s="111"/>
      <c r="BP68" s="111"/>
      <c r="BQ68" s="111"/>
      <c r="BR68" s="111"/>
      <c r="BS68" s="111"/>
      <c r="BT68" s="111" t="s">
        <v>330</v>
      </c>
      <c r="BU68" s="111"/>
      <c r="BV68" s="111"/>
      <c r="BW68" s="111"/>
      <c r="BX68" s="111"/>
      <c r="BY68" s="111">
        <f t="shared" ref="BY68:BY86" si="7">BY67+1</f>
        <v>68</v>
      </c>
      <c r="BZ68" s="111"/>
      <c r="CA68" s="111" t="s">
        <v>331</v>
      </c>
      <c r="CB68" s="111"/>
      <c r="CC68" s="111"/>
      <c r="CD68" s="111"/>
      <c r="CE68" s="111"/>
      <c r="CF68" s="111"/>
      <c r="CG68" s="111"/>
      <c r="CH68" s="111"/>
      <c r="CI68" s="111"/>
      <c r="CJ68" s="111"/>
      <c r="CK68" s="111"/>
      <c r="CL68" s="111"/>
      <c r="CM68" s="111"/>
      <c r="CN68" s="111"/>
      <c r="CO68" s="111"/>
      <c r="CP68" s="111"/>
      <c r="CQ68" s="111"/>
      <c r="CR68" s="111" t="s">
        <v>332</v>
      </c>
      <c r="CS68" s="111"/>
      <c r="CT68" s="111"/>
      <c r="CU68" s="111"/>
      <c r="CV68" s="111"/>
      <c r="CW68" s="111"/>
      <c r="CX68" s="111"/>
      <c r="CY68" s="111"/>
      <c r="CZ68" s="111"/>
      <c r="DA68" s="111"/>
      <c r="DB68" s="111"/>
      <c r="DC68" s="111"/>
      <c r="DD68" s="111"/>
      <c r="DE68" s="111"/>
      <c r="DF68" s="111"/>
      <c r="DG68" s="111" t="s">
        <v>333</v>
      </c>
      <c r="DH68" s="111"/>
      <c r="DI68" s="111"/>
      <c r="DJ68" s="107"/>
      <c r="DK68" s="111"/>
      <c r="DL68" s="111"/>
      <c r="DM68" s="111"/>
      <c r="DN68" s="111"/>
      <c r="DO68" s="111"/>
      <c r="DP68" s="111"/>
      <c r="DQ68" s="111"/>
      <c r="DR68" s="111" t="s">
        <v>333</v>
      </c>
      <c r="DS68" s="114"/>
    </row>
    <row r="69" spans="1:123">
      <c r="A69" s="175" t="s">
        <v>334</v>
      </c>
      <c r="B69" s="116"/>
      <c r="C69" s="116"/>
      <c r="D69" s="116"/>
      <c r="E69" s="116"/>
      <c r="F69" s="116"/>
      <c r="G69" s="116"/>
      <c r="H69" s="116"/>
      <c r="I69" s="116"/>
      <c r="J69" s="116"/>
      <c r="K69" s="116" t="s">
        <v>494</v>
      </c>
      <c r="L69" s="116"/>
      <c r="M69" s="115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5"/>
      <c r="AB69" s="117" t="s">
        <v>335</v>
      </c>
      <c r="AC69" s="117" t="s">
        <v>336</v>
      </c>
      <c r="AD69" s="117" t="s">
        <v>337</v>
      </c>
      <c r="AE69" s="117" t="s">
        <v>338</v>
      </c>
      <c r="AF69" s="117" t="s">
        <v>339</v>
      </c>
      <c r="AG69" s="117" t="s">
        <v>340</v>
      </c>
      <c r="AH69" s="117" t="s">
        <v>341</v>
      </c>
      <c r="AI69" s="116">
        <f>($A$45-$A$42)/$A$48</f>
        <v>1.7092381484588859E-2</v>
      </c>
      <c r="AJ69" s="116" t="e">
        <f>$F$22-$F$19</f>
        <v>#VALUE!</v>
      </c>
      <c r="AK69" s="116"/>
      <c r="AL69" s="116">
        <f>$G$22-$G$19</f>
        <v>50</v>
      </c>
      <c r="AM69" s="116">
        <f>$AT$69-$AS$69</f>
        <v>0.14305791772006432</v>
      </c>
      <c r="AN69" s="116">
        <f>$B$25*($A$51+$L$6)</f>
        <v>4.8693897999996212</v>
      </c>
      <c r="AO69" s="116"/>
      <c r="AP69" s="118">
        <f>$D$25-$D$19</f>
        <v>-1740.4</v>
      </c>
      <c r="AQ69" s="116">
        <f>$AT$69-$AS$69</f>
        <v>0.14305791772006432</v>
      </c>
      <c r="AR69" s="116">
        <f>($E$25-$E$19)*$G$45/$I$48</f>
        <v>463.67125984251925</v>
      </c>
      <c r="AS69" s="116">
        <f>($D$22-$D$19)/($D$25-$D$19)</f>
        <v>5.1942082279935693E-2</v>
      </c>
      <c r="AT69" s="116">
        <f>$C$22-$C$19</f>
        <v>0.19500000000000001</v>
      </c>
      <c r="AU69" s="116">
        <v>-0.15</v>
      </c>
      <c r="AV69" s="116">
        <f>1-(1-$AU$69)*(1-$AT$69)/(1-($D$22-$D$19)/($D$25-$D$19))</f>
        <v>2.353012121212128E-2</v>
      </c>
      <c r="AW69" s="116">
        <f>($AV$69*$AS$69-$AU$69*$C$22)/($AV$69-$AU$69)</f>
        <v>0.17992382690663364</v>
      </c>
      <c r="AX69" s="116">
        <f>($D$22-$C$39)/($D$25-$C$39)</f>
        <v>0</v>
      </c>
      <c r="AY69" s="116">
        <f>0.03*($C$39/$L$15&lt;2.71)</f>
        <v>0.03</v>
      </c>
      <c r="AZ69" s="116"/>
      <c r="BA69" s="116"/>
      <c r="BB69" s="116">
        <f>$D$19/$L$15-2.71</f>
        <v>3.0400000000000205E-2</v>
      </c>
      <c r="BC69" s="116"/>
      <c r="BD69" s="116"/>
      <c r="BE69" s="116"/>
      <c r="BF69" s="116"/>
      <c r="BG69" s="116"/>
      <c r="BH69" s="116"/>
      <c r="BI69" s="116"/>
      <c r="BJ69" s="116"/>
      <c r="BK69" s="116">
        <f>$AW$69^$C$45*$B$22/$C$42</f>
        <v>0.40369091152771391</v>
      </c>
      <c r="BL69" s="116"/>
      <c r="BM69" s="116"/>
      <c r="BN69" s="116"/>
      <c r="BO69" s="116"/>
      <c r="BP69" s="116">
        <f>$J$28-$J$19</f>
        <v>0</v>
      </c>
      <c r="BQ69" s="116">
        <f>$J$22-$J$19</f>
        <v>0</v>
      </c>
      <c r="BR69" s="116">
        <f>$J$25-$J$28</f>
        <v>0</v>
      </c>
      <c r="BS69" s="116">
        <f>$I$25-$I$19</f>
        <v>0</v>
      </c>
      <c r="BT69" s="116"/>
      <c r="BU69" s="116"/>
      <c r="BV69" s="116"/>
      <c r="BW69" s="116"/>
      <c r="BX69" s="116"/>
      <c r="BY69" s="116">
        <f t="shared" si="7"/>
        <v>69</v>
      </c>
      <c r="BZ69" s="116"/>
      <c r="CA69" s="116">
        <f>$D$31-$D$34</f>
        <v>220</v>
      </c>
      <c r="CB69" s="116">
        <f>$B$31-$B$34</f>
        <v>1.3321149168364999</v>
      </c>
      <c r="CC69" s="116">
        <f>$D$25/$L$15</f>
        <v>1</v>
      </c>
      <c r="CD69" s="116">
        <f>$H$22/$D$22*$L$15</f>
        <v>3.2398490566037732</v>
      </c>
      <c r="CE69" s="116">
        <f>$F$31-$F$34</f>
        <v>-3.2976827094474137E-2</v>
      </c>
      <c r="CF69" s="116"/>
      <c r="CG69" s="116">
        <f>$F$31*($G$37-$G$34)+$F$34*($G$31-$G$37)+$F$37*($G$34-$G$31)</f>
        <v>-5.0022977616560604E-3</v>
      </c>
      <c r="CH69" s="116">
        <f>$G$31-$G$34</f>
        <v>-9.0944741532976825E-2</v>
      </c>
      <c r="CI69" s="116">
        <f>$G$37-$G$31</f>
        <v>-2.0290689702454401E-2</v>
      </c>
      <c r="CJ69" s="116"/>
      <c r="CK69" s="116">
        <f>$D$31*($H$37-$H$34)+$D$34*($H$31-$H$37)+$D$37*($H$34-$H$31)</f>
        <v>971.39999999999782</v>
      </c>
      <c r="CL69" s="116">
        <f>$H$31-$H$34</f>
        <v>4.2199999999999989</v>
      </c>
      <c r="CM69" s="116">
        <f>$H$37-$H$31</f>
        <v>5.9499999999999957</v>
      </c>
      <c r="CN69" s="116"/>
      <c r="CO69" s="116"/>
      <c r="CP69" s="116"/>
      <c r="CQ69" s="116"/>
      <c r="CR69" s="116" t="s">
        <v>262</v>
      </c>
      <c r="CS69" s="116"/>
      <c r="CT69" s="116"/>
      <c r="CU69" s="116"/>
      <c r="CV69" s="116"/>
      <c r="CW69" s="116" t="s">
        <v>265</v>
      </c>
      <c r="CX69" s="116"/>
      <c r="CY69" s="116"/>
      <c r="CZ69" s="116"/>
      <c r="DA69" s="116"/>
      <c r="DB69" s="116" t="s">
        <v>267</v>
      </c>
      <c r="DC69" s="116"/>
      <c r="DD69" s="116" t="s">
        <v>342</v>
      </c>
      <c r="DE69" s="116">
        <f ca="1">SUM(DE72:DE83)</f>
        <v>163.15875978461381</v>
      </c>
      <c r="DF69" s="116"/>
      <c r="DG69" s="116" t="s">
        <v>333</v>
      </c>
      <c r="DH69" s="116"/>
      <c r="DI69" s="116"/>
      <c r="DJ69" s="115"/>
      <c r="DK69" s="116"/>
      <c r="DL69" s="116"/>
      <c r="DM69" s="116"/>
      <c r="DN69" s="116"/>
      <c r="DO69" s="116"/>
      <c r="DP69" s="116"/>
      <c r="DQ69" s="116"/>
      <c r="DR69" s="116" t="s">
        <v>333</v>
      </c>
      <c r="DS69" s="114"/>
    </row>
    <row r="70" spans="1:123">
      <c r="A70" s="175" t="s">
        <v>343</v>
      </c>
      <c r="B70" s="117" t="s">
        <v>344</v>
      </c>
      <c r="C70" s="117" t="s">
        <v>69</v>
      </c>
      <c r="D70" s="117" t="s">
        <v>70</v>
      </c>
      <c r="E70" s="117" t="s">
        <v>345</v>
      </c>
      <c r="F70" s="117" t="s">
        <v>474</v>
      </c>
      <c r="G70" s="117" t="s">
        <v>72</v>
      </c>
      <c r="H70" s="117" t="s">
        <v>73</v>
      </c>
      <c r="I70" s="117" t="s">
        <v>346</v>
      </c>
      <c r="J70" s="117" t="s">
        <v>92</v>
      </c>
      <c r="K70" s="117" t="s">
        <v>107</v>
      </c>
      <c r="L70" s="117" t="s">
        <v>347</v>
      </c>
      <c r="M70" s="119" t="s">
        <v>348</v>
      </c>
      <c r="N70" s="117" t="s">
        <v>349</v>
      </c>
      <c r="O70" s="117" t="s">
        <v>350</v>
      </c>
      <c r="P70" s="116" t="str">
        <f>IF($I$51,"Sw+ROS","         Sw")</f>
        <v xml:space="preserve">         Sw</v>
      </c>
      <c r="Q70" s="120" t="s">
        <v>351</v>
      </c>
      <c r="R70" s="117" t="s">
        <v>352</v>
      </c>
      <c r="S70" s="117" t="s">
        <v>353</v>
      </c>
      <c r="T70" s="117" t="s">
        <v>354</v>
      </c>
      <c r="U70" s="117" t="s">
        <v>355</v>
      </c>
      <c r="V70" s="117" t="s">
        <v>356</v>
      </c>
      <c r="W70" s="116" t="str">
        <f>$A$31</f>
        <v>DOLO</v>
      </c>
      <c r="X70" s="116" t="str">
        <f>$A$34</f>
        <v>QRTZ</v>
      </c>
      <c r="Y70" s="116" t="str">
        <f>$A$37</f>
        <v>ANHY</v>
      </c>
      <c r="Z70" s="117" t="s">
        <v>357</v>
      </c>
      <c r="AA70" s="115" t="s">
        <v>358</v>
      </c>
      <c r="AB70" s="116" t="s">
        <v>359</v>
      </c>
      <c r="AC70" s="116" t="s">
        <v>360</v>
      </c>
      <c r="AD70" s="116" t="s">
        <v>361</v>
      </c>
      <c r="AE70" s="116" t="s">
        <v>362</v>
      </c>
      <c r="AF70" s="116" t="s">
        <v>363</v>
      </c>
      <c r="AG70" s="116" t="s">
        <v>364</v>
      </c>
      <c r="AH70" s="116" t="s">
        <v>365</v>
      </c>
      <c r="AI70" s="117" t="s">
        <v>366</v>
      </c>
      <c r="AJ70" s="117" t="s">
        <v>367</v>
      </c>
      <c r="AK70" s="117" t="s">
        <v>368</v>
      </c>
      <c r="AL70" s="117" t="s">
        <v>369</v>
      </c>
      <c r="AM70" s="117" t="s">
        <v>370</v>
      </c>
      <c r="AN70" s="117" t="s">
        <v>371</v>
      </c>
      <c r="AO70" s="116" t="s">
        <v>372</v>
      </c>
      <c r="AP70" s="116" t="s">
        <v>373</v>
      </c>
      <c r="AQ70" s="116" t="s">
        <v>374</v>
      </c>
      <c r="AR70" s="117" t="s">
        <v>375</v>
      </c>
      <c r="AS70" s="117" t="s">
        <v>376</v>
      </c>
      <c r="AT70" s="117" t="s">
        <v>377</v>
      </c>
      <c r="AU70" s="116" t="s">
        <v>378</v>
      </c>
      <c r="AV70" s="117" t="s">
        <v>379</v>
      </c>
      <c r="AW70" s="117" t="s">
        <v>380</v>
      </c>
      <c r="AX70" s="117" t="s">
        <v>376</v>
      </c>
      <c r="AY70" s="117" t="s">
        <v>377</v>
      </c>
      <c r="AZ70" s="116" t="s">
        <v>381</v>
      </c>
      <c r="BA70" s="117" t="s">
        <v>382</v>
      </c>
      <c r="BB70" s="116" t="s">
        <v>381</v>
      </c>
      <c r="BC70" s="116" t="s">
        <v>383</v>
      </c>
      <c r="BD70" s="116" t="s">
        <v>384</v>
      </c>
      <c r="BE70" s="117" t="s">
        <v>385</v>
      </c>
      <c r="BF70" s="116" t="s">
        <v>386</v>
      </c>
      <c r="BG70" s="117" t="s">
        <v>387</v>
      </c>
      <c r="BH70" s="117" t="s">
        <v>388</v>
      </c>
      <c r="BI70" s="117" t="s">
        <v>388</v>
      </c>
      <c r="BJ70" s="117" t="s">
        <v>388</v>
      </c>
      <c r="BK70" s="117" t="s">
        <v>389</v>
      </c>
      <c r="BL70" s="117" t="s">
        <v>389</v>
      </c>
      <c r="BM70" s="117" t="s">
        <v>390</v>
      </c>
      <c r="BN70" s="117" t="s">
        <v>391</v>
      </c>
      <c r="BO70" s="116" t="s">
        <v>392</v>
      </c>
      <c r="BP70" s="117" t="s">
        <v>393</v>
      </c>
      <c r="BQ70" s="116" t="s">
        <v>394</v>
      </c>
      <c r="BR70" s="116" t="s">
        <v>394</v>
      </c>
      <c r="BS70" s="116" t="s">
        <v>394</v>
      </c>
      <c r="BT70" s="117" t="s">
        <v>395</v>
      </c>
      <c r="BU70" s="117" t="s">
        <v>396</v>
      </c>
      <c r="BV70" s="116" t="s">
        <v>397</v>
      </c>
      <c r="BW70" s="116" t="s">
        <v>398</v>
      </c>
      <c r="BX70" s="116" t="s">
        <v>394</v>
      </c>
      <c r="BY70" s="116">
        <f t="shared" si="7"/>
        <v>70</v>
      </c>
      <c r="BZ70" s="116" t="s">
        <v>394</v>
      </c>
      <c r="CA70" s="117" t="s">
        <v>399</v>
      </c>
      <c r="CB70" s="117" t="s">
        <v>400</v>
      </c>
      <c r="CC70" s="117" t="s">
        <v>401</v>
      </c>
      <c r="CD70" s="117" t="s">
        <v>402</v>
      </c>
      <c r="CE70" s="117" t="s">
        <v>403</v>
      </c>
      <c r="CF70" s="117" t="s">
        <v>404</v>
      </c>
      <c r="CG70" s="117" t="s">
        <v>405</v>
      </c>
      <c r="CH70" s="117" t="s">
        <v>405</v>
      </c>
      <c r="CI70" s="117" t="s">
        <v>405</v>
      </c>
      <c r="CJ70" s="117" t="s">
        <v>405</v>
      </c>
      <c r="CK70" s="117" t="s">
        <v>406</v>
      </c>
      <c r="CL70" s="117" t="s">
        <v>406</v>
      </c>
      <c r="CM70" s="117" t="s">
        <v>406</v>
      </c>
      <c r="CN70" s="117" t="s">
        <v>406</v>
      </c>
      <c r="CO70" s="116" t="s">
        <v>407</v>
      </c>
      <c r="CP70" s="116"/>
      <c r="CQ70" s="116"/>
      <c r="CR70" s="117" t="s">
        <v>408</v>
      </c>
      <c r="CS70" s="117" t="s">
        <v>409</v>
      </c>
      <c r="CT70" s="117" t="s">
        <v>410</v>
      </c>
      <c r="CU70" s="117" t="s">
        <v>411</v>
      </c>
      <c r="CV70" s="116" t="s">
        <v>412</v>
      </c>
      <c r="CW70" s="117" t="s">
        <v>408</v>
      </c>
      <c r="CX70" s="117" t="s">
        <v>409</v>
      </c>
      <c r="CY70" s="117" t="s">
        <v>410</v>
      </c>
      <c r="CZ70" s="117" t="s">
        <v>411</v>
      </c>
      <c r="DA70" s="116" t="s">
        <v>412</v>
      </c>
      <c r="DB70" s="117" t="s">
        <v>408</v>
      </c>
      <c r="DC70" s="117" t="s">
        <v>409</v>
      </c>
      <c r="DD70" s="117" t="s">
        <v>410</v>
      </c>
      <c r="DE70" s="117" t="s">
        <v>411</v>
      </c>
      <c r="DF70" s="116" t="s">
        <v>412</v>
      </c>
      <c r="DG70" s="116" t="s">
        <v>333</v>
      </c>
      <c r="DH70" s="116"/>
      <c r="DI70" s="116"/>
      <c r="DJ70" s="115" t="s">
        <v>413</v>
      </c>
      <c r="DK70" s="116"/>
      <c r="DL70" s="116" t="s">
        <v>414</v>
      </c>
      <c r="DM70" s="116"/>
      <c r="DN70" s="116" t="s">
        <v>415</v>
      </c>
      <c r="DO70" s="116"/>
      <c r="DP70" s="116" t="s">
        <v>416</v>
      </c>
      <c r="DQ70" s="116"/>
      <c r="DR70" s="116" t="s">
        <v>333</v>
      </c>
      <c r="DS70" s="114"/>
    </row>
    <row r="71" spans="1:123" ht="13.5" thickBot="1">
      <c r="A71" s="175" t="str">
        <f>"   "&amp;$L$24</f>
        <v xml:space="preserve">   meters</v>
      </c>
      <c r="B71" s="116" t="str">
        <f>"   "&amp;$L$24</f>
        <v xml:space="preserve">   meters</v>
      </c>
      <c r="C71" s="117" t="s">
        <v>417</v>
      </c>
      <c r="D71" s="117" t="s">
        <v>418</v>
      </c>
      <c r="E71" s="117" t="s">
        <v>418</v>
      </c>
      <c r="F71" s="116" t="str">
        <f>"     "&amp;$L$25</f>
        <v xml:space="preserve">     us/m</v>
      </c>
      <c r="G71" s="117" t="s">
        <v>419</v>
      </c>
      <c r="H71" s="117" t="s">
        <v>420</v>
      </c>
      <c r="I71" s="117" t="s">
        <v>421</v>
      </c>
      <c r="J71" s="117" t="s">
        <v>78</v>
      </c>
      <c r="K71" s="117" t="s">
        <v>419</v>
      </c>
      <c r="L71" s="116" t="str">
        <f>"     "&amp;$L$24</f>
        <v xml:space="preserve">     meters</v>
      </c>
      <c r="M71" s="115" t="str">
        <f>"    "&amp;$L$24</f>
        <v xml:space="preserve">    meters</v>
      </c>
      <c r="N71" s="117" t="s">
        <v>422</v>
      </c>
      <c r="O71" s="117" t="s">
        <v>422</v>
      </c>
      <c r="P71" s="117" t="s">
        <v>422</v>
      </c>
      <c r="Q71" s="120" t="s">
        <v>423</v>
      </c>
      <c r="R71" s="117" t="s">
        <v>424</v>
      </c>
      <c r="S71" s="117" t="s">
        <v>422</v>
      </c>
      <c r="T71" s="117" t="s">
        <v>425</v>
      </c>
      <c r="U71" s="117" t="s">
        <v>426</v>
      </c>
      <c r="V71" s="116" t="str">
        <f>"   "&amp;$L$28</f>
        <v xml:space="preserve">   Kg/m3</v>
      </c>
      <c r="W71" s="117" t="s">
        <v>422</v>
      </c>
      <c r="X71" s="117" t="s">
        <v>422</v>
      </c>
      <c r="Y71" s="117" t="s">
        <v>422</v>
      </c>
      <c r="Z71" s="116" t="str">
        <f>"       "&amp;$L$24</f>
        <v xml:space="preserve">       meters</v>
      </c>
      <c r="AA71" s="119" t="s">
        <v>424</v>
      </c>
      <c r="AB71" s="117" t="s">
        <v>422</v>
      </c>
      <c r="AC71" s="117" t="s">
        <v>422</v>
      </c>
      <c r="AD71" s="117" t="s">
        <v>422</v>
      </c>
      <c r="AE71" s="117" t="s">
        <v>422</v>
      </c>
      <c r="AF71" s="117" t="s">
        <v>422</v>
      </c>
      <c r="AG71" s="117" t="s">
        <v>422</v>
      </c>
      <c r="AH71" s="117" t="s">
        <v>422</v>
      </c>
      <c r="AI71" s="116" t="str">
        <f>"            "&amp;$L$30</f>
        <v xml:space="preserve">            'C</v>
      </c>
      <c r="AJ71" s="116"/>
      <c r="AK71" s="116"/>
      <c r="AL71" s="116"/>
      <c r="AM71" s="116"/>
      <c r="AN71" s="116"/>
      <c r="AO71" s="116"/>
      <c r="AP71" s="116" t="s">
        <v>427</v>
      </c>
      <c r="AQ71" s="116"/>
      <c r="AR71" s="116"/>
      <c r="AS71" s="116"/>
      <c r="AT71" s="116"/>
      <c r="AU71" s="116"/>
      <c r="AV71" s="116">
        <f>$AV$69-$AU$69</f>
        <v>0.17353012121212127</v>
      </c>
      <c r="AW71" s="116"/>
      <c r="AX71" s="116" t="s">
        <v>428</v>
      </c>
      <c r="AY71" s="116"/>
      <c r="AZ71" s="117" t="s">
        <v>429</v>
      </c>
      <c r="BA71" s="117" t="s">
        <v>430</v>
      </c>
      <c r="BB71" s="117" t="s">
        <v>431</v>
      </c>
      <c r="BC71" s="116" t="s">
        <v>432</v>
      </c>
      <c r="BD71" s="116"/>
      <c r="BE71" s="116"/>
      <c r="BF71" s="116" t="s">
        <v>433</v>
      </c>
      <c r="BG71" s="116"/>
      <c r="BH71" s="116" t="s">
        <v>434</v>
      </c>
      <c r="BI71" s="116" t="s">
        <v>435</v>
      </c>
      <c r="BJ71" s="116"/>
      <c r="BK71" s="116" t="s">
        <v>434</v>
      </c>
      <c r="BL71" s="117" t="s">
        <v>436</v>
      </c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 t="s">
        <v>437</v>
      </c>
      <c r="BX71" s="116"/>
      <c r="BY71" s="116">
        <f t="shared" si="7"/>
        <v>71</v>
      </c>
      <c r="BZ71" s="116"/>
      <c r="CA71" s="117" t="s">
        <v>438</v>
      </c>
      <c r="CB71" s="117" t="s">
        <v>438</v>
      </c>
      <c r="CC71" s="116"/>
      <c r="CD71" s="116"/>
      <c r="CE71" s="117" t="s">
        <v>438</v>
      </c>
      <c r="CF71" s="117" t="s">
        <v>438</v>
      </c>
      <c r="CG71" s="117" t="s">
        <v>439</v>
      </c>
      <c r="CH71" s="117" t="s">
        <v>440</v>
      </c>
      <c r="CI71" s="117" t="s">
        <v>438</v>
      </c>
      <c r="CJ71" s="117" t="s">
        <v>441</v>
      </c>
      <c r="CK71" s="117" t="s">
        <v>439</v>
      </c>
      <c r="CL71" s="117" t="s">
        <v>440</v>
      </c>
      <c r="CM71" s="117" t="s">
        <v>438</v>
      </c>
      <c r="CN71" s="117" t="s">
        <v>441</v>
      </c>
      <c r="CO71" s="116" t="s">
        <v>442</v>
      </c>
      <c r="CP71" s="116" t="s">
        <v>443</v>
      </c>
      <c r="CQ71" s="116" t="s">
        <v>444</v>
      </c>
      <c r="CR71" s="116"/>
      <c r="CS71" s="116"/>
      <c r="CT71" s="116"/>
      <c r="CU71" s="116" t="s">
        <v>445</v>
      </c>
      <c r="CV71" s="116"/>
      <c r="CW71" s="116"/>
      <c r="CX71" s="116"/>
      <c r="CY71" s="116"/>
      <c r="CZ71" s="116" t="s">
        <v>445</v>
      </c>
      <c r="DA71" s="116"/>
      <c r="DB71" s="116"/>
      <c r="DC71" s="116"/>
      <c r="DD71" s="116"/>
      <c r="DE71" s="116" t="s">
        <v>445</v>
      </c>
      <c r="DF71" s="116"/>
      <c r="DG71" s="116" t="s">
        <v>333</v>
      </c>
      <c r="DH71" s="116"/>
      <c r="DI71" s="116"/>
      <c r="DJ71" s="115"/>
      <c r="DK71" s="116"/>
      <c r="DL71" s="116"/>
      <c r="DM71" s="116"/>
      <c r="DN71" s="116"/>
      <c r="DO71" s="116"/>
      <c r="DP71" s="116"/>
      <c r="DQ71" s="116"/>
      <c r="DR71" s="116" t="s">
        <v>333</v>
      </c>
      <c r="DS71" s="114"/>
    </row>
    <row r="72" spans="1:123" ht="13.5" thickBot="1">
      <c r="A72" s="176"/>
      <c r="B72" s="121"/>
      <c r="C72" s="121"/>
      <c r="D72" s="121"/>
      <c r="E72" s="121"/>
      <c r="F72" s="121"/>
      <c r="G72" s="121"/>
      <c r="H72" s="121"/>
      <c r="I72" s="121"/>
      <c r="J72" s="121"/>
      <c r="K72" s="121"/>
      <c r="L72" s="121"/>
      <c r="M72" s="32"/>
      <c r="N72" s="33"/>
      <c r="O72" s="33"/>
      <c r="P72" s="33"/>
      <c r="Q72" s="33"/>
      <c r="R72" s="33"/>
      <c r="S72" s="33"/>
      <c r="T72" s="33"/>
      <c r="U72" s="96">
        <f ca="1">T86</f>
        <v>163.15875978461381</v>
      </c>
      <c r="V72" s="66"/>
      <c r="W72" s="33"/>
      <c r="X72" s="33"/>
      <c r="Y72" s="33"/>
      <c r="Z72" s="33"/>
      <c r="AA72" s="32"/>
      <c r="AB72" s="122"/>
      <c r="AC72" s="122"/>
      <c r="AD72" s="122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 t="s">
        <v>446</v>
      </c>
      <c r="AT72" s="33"/>
      <c r="AU72" s="33"/>
      <c r="AV72" s="33" t="s">
        <v>447</v>
      </c>
      <c r="AW72" s="33"/>
      <c r="AX72" s="33" t="s">
        <v>448</v>
      </c>
      <c r="AY72" s="33"/>
      <c r="AZ72" s="33"/>
      <c r="BA72" s="33"/>
      <c r="BB72" s="33"/>
      <c r="BC72" s="33" t="s">
        <v>449</v>
      </c>
      <c r="BD72" s="33"/>
      <c r="BE72" s="33"/>
      <c r="BF72" s="33"/>
      <c r="BG72" s="33" t="s">
        <v>450</v>
      </c>
      <c r="BH72" s="33" t="s">
        <v>451</v>
      </c>
      <c r="BI72" s="33"/>
      <c r="BJ72" s="33"/>
      <c r="BK72" s="33" t="s">
        <v>452</v>
      </c>
      <c r="BL72" s="33"/>
      <c r="BM72" s="33"/>
      <c r="BN72" s="33"/>
      <c r="BO72" s="33" t="s">
        <v>453</v>
      </c>
      <c r="BP72" s="33"/>
      <c r="BQ72" s="33"/>
      <c r="BR72" s="33"/>
      <c r="BS72" s="33"/>
      <c r="BT72" s="33"/>
      <c r="BU72" s="33"/>
      <c r="BV72" s="33"/>
      <c r="BW72" s="33"/>
      <c r="BX72" s="33"/>
      <c r="BY72" s="33">
        <f t="shared" si="7"/>
        <v>72</v>
      </c>
      <c r="BZ72" s="33"/>
      <c r="CA72" s="33"/>
      <c r="CB72" s="33"/>
      <c r="CC72" s="33"/>
      <c r="CD72" s="33"/>
      <c r="CE72" s="33"/>
      <c r="CF72" s="33"/>
      <c r="CG72" s="33"/>
      <c r="CH72" s="33"/>
      <c r="CI72" s="33"/>
      <c r="CJ72" s="33"/>
      <c r="CK72" s="33"/>
      <c r="CL72" s="33"/>
      <c r="CM72" s="33"/>
      <c r="CN72" s="33"/>
      <c r="CO72" s="33"/>
      <c r="CP72" s="33"/>
      <c r="CQ72" s="33"/>
      <c r="CR72" s="33"/>
      <c r="CS72" s="33"/>
      <c r="CT72" s="33"/>
      <c r="CU72" s="33"/>
      <c r="CV72" s="33"/>
      <c r="CW72" s="33"/>
      <c r="CX72" s="33"/>
      <c r="CY72" s="33"/>
      <c r="CZ72" s="33"/>
      <c r="DA72" s="33"/>
      <c r="DB72" s="33"/>
      <c r="DC72" s="33"/>
      <c r="DD72" s="33"/>
      <c r="DE72" s="33"/>
      <c r="DF72" s="33"/>
      <c r="DG72" s="33" t="s">
        <v>333</v>
      </c>
      <c r="DH72" s="33"/>
      <c r="DI72" s="33"/>
      <c r="DJ72" s="33" t="s">
        <v>454</v>
      </c>
      <c r="DK72" s="33" t="s">
        <v>455</v>
      </c>
      <c r="DL72" s="33" t="s">
        <v>456</v>
      </c>
      <c r="DM72" s="33" t="s">
        <v>455</v>
      </c>
      <c r="DN72" s="33" t="s">
        <v>457</v>
      </c>
      <c r="DO72" s="33" t="s">
        <v>458</v>
      </c>
      <c r="DP72" s="33" t="s">
        <v>459</v>
      </c>
      <c r="DQ72" s="33" t="s">
        <v>460</v>
      </c>
      <c r="DR72" s="33"/>
      <c r="DS72" s="114"/>
    </row>
    <row r="73" spans="1:123">
      <c r="A73" s="177">
        <f>6726/$L$9</f>
        <v>2050.0848000000024</v>
      </c>
      <c r="B73" s="123">
        <f>6735.5/$L$9</f>
        <v>2052.9804000000022</v>
      </c>
      <c r="C73" s="123">
        <v>182.9</v>
      </c>
      <c r="D73" s="124">
        <v>0.3</v>
      </c>
      <c r="E73" s="124">
        <v>0</v>
      </c>
      <c r="F73" s="125">
        <f>51.5*$L$9</f>
        <v>168.96325459317566</v>
      </c>
      <c r="G73" s="125">
        <v>80</v>
      </c>
      <c r="H73" s="125">
        <v>0</v>
      </c>
      <c r="I73" s="42">
        <v>3.8347488752785601</v>
      </c>
      <c r="J73" s="125">
        <v>32</v>
      </c>
      <c r="K73" s="125">
        <v>100</v>
      </c>
      <c r="L73" s="123">
        <v>1010</v>
      </c>
      <c r="M73" s="126">
        <f t="shared" ref="M73:M79" si="8">B73-A73</f>
        <v>2.8955999999998312</v>
      </c>
      <c r="N73" s="45">
        <f t="shared" ref="N73:N79" si="9">IF($A$59,0,AN73)</f>
        <v>0.70588235294117652</v>
      </c>
      <c r="O73" s="127">
        <f t="shared" ref="O73:O79" ca="1" si="10">MAX(0,MIN(BF73,$G$51*(1-N73)))</f>
        <v>8.7449947494025446E-2</v>
      </c>
      <c r="P73" s="45">
        <f t="shared" ref="P73:P79" ca="1" si="11">IF(N73&gt;0.85,1,MAX(0.02,MIN(1,$G$43+INDIRECT(IF($E$62,"BO",IF($E$61,"BN",IF($E$60,"BJ",IF($E$59,"BG","BO"))))&amp;FIXED(BY73,0,TRUE)))))</f>
        <v>5.7339401311811977E-2</v>
      </c>
      <c r="Q73" s="128">
        <f t="shared" ref="Q73:Q79" ca="1" si="12">MAX(0.01,INDIRECT(IF($G$62,"BW",IF($G$61,"BV",IF($G$60,"BU","BT")))&amp;FIXED(BY73,0,TRUE)))</f>
        <v>13.603510937606529</v>
      </c>
      <c r="R73" s="127">
        <f t="shared" ref="R73:R79" ca="1" si="13">((O73+0.0001)^$C$45)/($C$42*(1-N73+0.0001))/(1/C73-N73/$B$22)</f>
        <v>-0.44778573127610821</v>
      </c>
      <c r="S73" s="127">
        <f t="shared" ref="S73:S79" ca="1" si="14">O73*(P73-$G$43)</f>
        <v>5.0143276340568112E-3</v>
      </c>
      <c r="T73" s="45" t="str">
        <f ca="1">IF(CQ73=0,IF(N73&gt;$O$8,"SHALY",IF((O73&lt;$P$8)+(Q73&lt;$R$8),"TIGHT","  WET")),IF(S73&lt;1.2*$C$51/(1-N73+0.01),IF($I$51,"  GAS","  OIL"),"  H2O"))</f>
        <v>SHALY</v>
      </c>
      <c r="U73" s="129">
        <f t="shared" ref="U73:U79" ca="1" si="15">(U72-DE72)</f>
        <v>163.15875978461381</v>
      </c>
      <c r="V73" s="129">
        <f t="shared" ref="V73:V79" ca="1" si="16">IF(N73&gt;0.85,AO73,(AO73-O73*$D$25-N73*$D$22)/(1-O73-N73))</f>
        <v>3348.1856074703201</v>
      </c>
      <c r="W73" s="45">
        <f t="shared" ref="W73:W79" ca="1" si="17">MAX(0,MIN(1,INDIRECT(IF($I$65,"CM",IF($I$64,"CI",IF($I$63,"CF",IF($I$62,"CE",IF($I$61,"CB","CA")))))&amp;FIXED(BY73,0,TRUE))))</f>
        <v>1</v>
      </c>
      <c r="X73" s="45">
        <f t="shared" ref="X73:X79" si="18">IF($I$65,CN73,IF($I$64,CJ73,1-W73))</f>
        <v>0</v>
      </c>
      <c r="Y73" s="45">
        <f t="shared" ref="Y73:Y79" ca="1" si="19">1-W73-X73</f>
        <v>0</v>
      </c>
      <c r="Z73" s="128">
        <f t="shared" ref="Z73:Z79" si="20">L73-A73</f>
        <v>-1040.0848000000024</v>
      </c>
      <c r="AA73" s="130">
        <f t="shared" ref="AA73:AA79" si="21">$AN$69/(AI73+$L$6)</f>
        <v>6.7539997500522475E-2</v>
      </c>
      <c r="AB73" s="131" t="e">
        <f>NA()</f>
        <v>#N/A</v>
      </c>
      <c r="AC73" s="131" t="e">
        <f>NA()</f>
        <v>#N/A</v>
      </c>
      <c r="AD73" s="131" t="e">
        <f>NA()</f>
        <v>#N/A</v>
      </c>
      <c r="AE73" s="131" t="e">
        <f>NA()</f>
        <v>#N/A</v>
      </c>
      <c r="AF73" s="131" t="e">
        <f>NA()</f>
        <v>#N/A</v>
      </c>
      <c r="AG73" s="131" t="e">
        <f>NA()</f>
        <v>#N/A</v>
      </c>
      <c r="AH73" s="131" t="e">
        <f>NA()</f>
        <v>#N/A</v>
      </c>
      <c r="AI73" s="132">
        <f t="shared" ref="AI73:AI79" si="22">$A$42+$AI$69*A73</f>
        <v>50.596387032912652</v>
      </c>
      <c r="AJ73" s="37">
        <f t="shared" ref="AJ73:AJ79" si="23">IF($A$60,(G73-J73)/(K73-J73),1)</f>
        <v>0.70588235294117652</v>
      </c>
      <c r="AK73" s="37">
        <f t="shared" ref="AK73:AK79" si="24">IF($A$61,1.7-(3.38-(MIN(1,MAX(0,AJ73))+0.7)^2)^0.5,1)</f>
        <v>1</v>
      </c>
      <c r="AL73" s="37">
        <f t="shared" ref="AL73:AL79" si="25">IF($A$62,(H73-$G$19)/$AL$69,1)</f>
        <v>1</v>
      </c>
      <c r="AM73" s="37">
        <f t="shared" ref="AM73:AM79" si="26">IF(OR(OR(ISNA(D73),ISNA(E73)),$A$63=0),1,(AQ73-AP73)/$AM$69)</f>
        <v>1.6990175838829134</v>
      </c>
      <c r="AN73" s="37">
        <f t="shared" ref="AN73:AN79" si="27">MAX(0,MIN(1,AJ73:AM73))</f>
        <v>0.70588235294117652</v>
      </c>
      <c r="AO73" s="132">
        <f t="shared" ref="AO73:AO79" si="28">E73*$L$15+(1-E73)*$C$39</f>
        <v>2650</v>
      </c>
      <c r="AP73" s="133">
        <f t="shared" ref="AP73:AP79" si="29">(AO73-$D$19)/$AP$69</f>
        <v>5.1942082279935693E-2</v>
      </c>
      <c r="AQ73" s="133">
        <f t="shared" ref="AQ73:AQ79" si="30">D73-$C$19</f>
        <v>0.29499999999999998</v>
      </c>
      <c r="AR73" s="133">
        <f t="shared" ref="AR73:AR79" si="31">(F73-(1-N73)*$E$19-N73*$E$22)/$AR$69</f>
        <v>-8.2355937981127628E-2</v>
      </c>
      <c r="AS73" s="133">
        <f t="shared" ref="AS73:AS79" si="32">(AP73-N73*$AS$69)*$I$45</f>
        <v>1.5277083023510496E-2</v>
      </c>
      <c r="AT73" s="133">
        <f t="shared" ref="AT73:AT79" si="33">(+AQ73-N73*$AT$69)*$I$42</f>
        <v>0.15735294117647056</v>
      </c>
      <c r="AU73" s="133">
        <f t="shared" ref="AU73:AU79" si="34">IF(AQ73&gt;=AP73,(AP73*$AT$69-AQ73*$AS$69)/$AQ$69,((AQ73^2+AP73^2)/2)^0.5)</f>
        <v>-3.6308428857168139E-2</v>
      </c>
      <c r="AV73" s="133">
        <f t="shared" ref="AV73:AV79" si="35">MAX(0,($AV$69*AP73-$AU$69*AQ73)/$AV$71)</f>
        <v>0.26204213524678033</v>
      </c>
      <c r="AW73" s="133">
        <f t="shared" ref="AW73:AW79" si="36">AV73-N73*$AW$69</f>
        <v>0.13503708095974482</v>
      </c>
      <c r="AX73" s="133">
        <f t="shared" ref="AX73:AX79" si="37">(E73-N73*$AX$69)+$AY$69</f>
        <v>0.03</v>
      </c>
      <c r="AY73" s="133">
        <f t="shared" ref="AY73:AY79" si="38">MAX(0,(D73-N73*$C$22)-$AY$69)</f>
        <v>0.12882352941176467</v>
      </c>
      <c r="AZ73" s="133">
        <f t="shared" ref="AZ73:AZ79" si="39">((4-(3.3+10^(-5*AY73-0.16)))*AX73+0.754*AY73)/((4-(3.3+10^(-5*AY73-0.16)))+0.754)</f>
        <v>8.7449947494025446E-2</v>
      </c>
      <c r="BA73" s="132">
        <f t="shared" ref="BA73:BA79" si="40">IF(N73&gt;0.85,AO73,(AO73-AZ73*$D$25-N73*$D$22)/(1-AZ73-N73))</f>
        <v>3348.1856074703201</v>
      </c>
      <c r="BB73" s="133">
        <f t="shared" ref="BB73:BB79" si="41">MAX(AZ73,IF(BA73&lt;$D$19,-AX73/(AY73/0.8-1)/(1+AX73/(0.8-AY73))+2*(0.3-AZ73)*$BB$69,0))</f>
        <v>8.7449947494025446E-2</v>
      </c>
      <c r="BC73" s="132">
        <f t="shared" ref="BC73:BC79" ca="1" si="42">($D$31*W73+$D$34*X73+$D$37*Y73)*(1-N73)+N73*$D$22</f>
        <v>2714.7058823529414</v>
      </c>
      <c r="BD73" s="133">
        <f t="shared" ref="BD73:BD79" ca="1" si="43">(AO73-BC73)/($D$25-BC73)</f>
        <v>3.7735849056603925E-2</v>
      </c>
      <c r="BE73" s="133">
        <f t="shared" ref="BE73:BE79" si="44">$G$51*(1-N73)</f>
        <v>8.8235294117647037E-2</v>
      </c>
      <c r="BF73" s="133">
        <f t="shared" ref="BF73:BF79" ca="1" si="45">INDIRECT(IF($C$66,"BE",IF($C$65,"BD",IF($C$64,"BB",IF($C$63,"AW",IF($C$62,"AU",IF($C$61,"AT",IF($C$60,"AS","AR")))))))&amp;FIXED(BY73,0,TRUE))</f>
        <v>8.7449947494025446E-2</v>
      </c>
      <c r="BG73" s="37">
        <f t="shared" ref="BG73:BG79" ca="1" si="46">($C$42*AA73/(C73*((O73+0.0001)^$C$45)))^(1/$C$48)</f>
        <v>0.20746480415845264</v>
      </c>
      <c r="BH73" s="37">
        <f t="shared" ref="BH73:BH79" ca="1" si="47">$C$42*AA73*(1-N73)/((O73+0.0001)^$C$45)</f>
        <v>2.3153873129435243</v>
      </c>
      <c r="BI73" s="37">
        <f t="shared" ref="BI73:BI79" ca="1" si="48">BH73*N73/(2*$B$22)</f>
        <v>8.1719552221536151E-2</v>
      </c>
      <c r="BJ73" s="37">
        <f t="shared" ref="BJ73:BJ79" ca="1" si="49">(((BI73^2)+BH73/C73)^0.5-BI73)^(2/$C$48)</f>
        <v>5.7339401311811977E-2</v>
      </c>
      <c r="BK73" s="37">
        <f t="shared" ref="BK73:BK79" si="50">MAX(0.5,1+($AW$69*N73/(AV73+0.0001)*(AA73-$BK$69)/$BK$69))</f>
        <v>0.59656878676273328</v>
      </c>
      <c r="BL73" s="37">
        <f t="shared" ref="BL73:BL79" si="51">$C$42*AA73/((AV73+0.0001)^$C$45)*BK73</f>
        <v>0.44438466775509772</v>
      </c>
      <c r="BM73" s="37">
        <f t="shared" ref="BM73:BM79" si="52">MIN(1,(BL73/C73)^(1/$C$48))</f>
        <v>4.9291573320503719E-2</v>
      </c>
      <c r="BN73" s="37">
        <f t="shared" ref="BN73:BN79" ca="1" si="53">IF((AV73*BM73-$AW$69*N73)/(O73+0.0001)&lt;0.02,1,(AV73*BM73-$AW$69*N73)/(O73+0.0001))</f>
        <v>1</v>
      </c>
      <c r="BO73" s="37">
        <f t="shared" ref="BO73:BO79" ca="1" si="54">IF(O73&gt;0.001,$C$51/O73/(1-N73),1)</f>
        <v>1.1663814893310098</v>
      </c>
      <c r="BP73" s="37">
        <f t="shared" ref="BP73:BP79" ca="1" si="55">IF(O73&gt;0.001,MIN(S73/O73,BO73,1),1)</f>
        <v>5.7339401311811977E-2</v>
      </c>
      <c r="BQ73" s="37" t="e">
        <f>NA()</f>
        <v>#N/A</v>
      </c>
      <c r="BR73" s="37" t="e">
        <f>NA()</f>
        <v>#N/A</v>
      </c>
      <c r="BS73" s="37" t="e">
        <f>NA()</f>
        <v>#N/A</v>
      </c>
      <c r="BT73" s="37">
        <f t="shared" ref="BT73:BT79" ca="1" si="56">$G$48*(O73^6)/(BP73^2)</f>
        <v>13.603510937606529</v>
      </c>
      <c r="BU73" s="37">
        <f t="shared" ref="BU73:BU79" ca="1" si="57">$G$48/19*(O73^4.4)/(BP73^2)</f>
        <v>35.324996239711233</v>
      </c>
      <c r="BV73" s="37">
        <f t="shared" ref="BV73:BV79" ca="1" si="58">IF(O73,+$G$48/20*O73^4*(AV73/BP73/O73-1)^2,0)</f>
        <v>768.3215700685879</v>
      </c>
      <c r="BW73" s="37">
        <f t="shared" ref="BW73:BW79" ca="1" si="59">10^($H$64*O73+$H$65)</f>
        <v>0.83926448369729767</v>
      </c>
      <c r="BX73" s="37" t="e">
        <f>NA()</f>
        <v>#N/A</v>
      </c>
      <c r="BY73" s="37">
        <f t="shared" si="7"/>
        <v>73</v>
      </c>
      <c r="BZ73" s="37" t="e">
        <f>NA()</f>
        <v>#N/A</v>
      </c>
      <c r="CA73" s="37">
        <f t="shared" ref="CA73:CA79" ca="1" si="60">(V73-$D$34)/$CA$69</f>
        <v>3.1735709430469092</v>
      </c>
      <c r="CB73" s="37">
        <f>(I73-$B$34-$CD$69*N73)/$CB$69</f>
        <v>-0.19215833532193696</v>
      </c>
      <c r="CC73" s="37">
        <f t="shared" ref="CC73:CC79" si="61">0.01*(188-(AR73*188+(1-AR73)*47.3))/(AX73+(1-AX73)*2.71-$CC$69)</f>
        <v>0.91811346520735937</v>
      </c>
      <c r="CD73" s="37">
        <f t="shared" ref="CD73:CD79" si="62">(1-AY73)/(AX73+(1-AX73)*2.71-$CC$69)</f>
        <v>0.52521641682536657</v>
      </c>
      <c r="CE73" s="37">
        <f t="shared" ref="CE73:CE79" si="63">(CC73-$F$34)/$CE$69</f>
        <v>-3.4898191341258702</v>
      </c>
      <c r="CF73" s="37">
        <f t="shared" ref="CF73:CF79" si="64">(CD73-$G$34)/$CH$69</f>
        <v>1.0755309714027708</v>
      </c>
      <c r="CG73" s="37">
        <f t="shared" ref="CG73:CG79" si="65">(-CC73*$CH$69+CD73*$CE$69+$F$34*$G$31-$F$31*$G$34)/$CG$69</f>
        <v>-2.7371021686793688</v>
      </c>
      <c r="CH73" s="37">
        <f t="shared" ref="CH73:CH79" si="66">(CG73*$CI$69-CD73+$G$31)/$CH$69</f>
        <v>-0.68620608963871543</v>
      </c>
      <c r="CI73" s="37">
        <f t="shared" ref="CI73:CI79" si="67">MAX(0,1-CG73-CH73)/(MAX(0,1-CG73-CH73)+MAX(0,CH73)+MAX(0,CG73))</f>
        <v>1</v>
      </c>
      <c r="CJ73" s="37">
        <f t="shared" ref="CJ73:CJ79" si="68">MAX(0,CH73)/(MAX(0,1-CG73-CH73)+MAX(0,CG73)+MAX(0,CH73))</f>
        <v>0</v>
      </c>
      <c r="CK73" s="37">
        <f t="shared" ref="CK73:CK79" si="69">(-BA73*$CL$69+((I73*AO73/$L$15-$H$22*N73)/(1-BB73))*$CA$69+$D$34*$H$31-$D$31*$H$34)/$CK$69</f>
        <v>-3.0976980593330183</v>
      </c>
      <c r="CL73" s="37">
        <f t="shared" ref="CL73:CL79" si="70">(CK73*$CM$69-((I73*AO73/$L$15-$H$22*N73)/(1-BB73))+$H$31)/$CL$69</f>
        <v>-3.3000066009861917</v>
      </c>
      <c r="CM73" s="37">
        <f t="shared" ref="CM73:CM79" si="71">MAX(0,1-CK73-CL73)/(MAX(0,1-CK73-CL73)+MAX(0,CL73)+MAX(0,CK73))</f>
        <v>1</v>
      </c>
      <c r="CN73" s="37">
        <f t="shared" ref="CN73:CN79" si="72">MAX(0,CL73)/(MAX(0,1-CK73-CL73)+MAX(0,CK73)+MAX(0,CL73))</f>
        <v>0</v>
      </c>
      <c r="CO73" s="37">
        <f ca="1">(N73&lt;=$O$6)*(O73&gt;=$P$6)*(P73&lt;=$Q$6)*(Q73&gt;=$R$6)*(A73&gt;=$O$9)*(B73&lt;=$Q$9)</f>
        <v>1</v>
      </c>
      <c r="CP73" s="37">
        <f ca="1">(N73&lt;=$O$7)*(O73&gt;=$P$7)*(P73&lt;=$Q$7)*(Q73&gt;=$R$7)*(A73&gt;=$O$9)*(B73&lt;=$Q$9)</f>
        <v>0</v>
      </c>
      <c r="CQ73" s="37">
        <f ca="1">(N73&lt;=$O$8)*(O73&gt;=$P$8)*(P73&lt;=$Q$8)*(Q73&gt;=$R$8)*(A73&gt;=$O$9)*(B73&lt;=$Q$9)</f>
        <v>0</v>
      </c>
      <c r="CR73" s="37">
        <f t="shared" ref="CR73:CR79" ca="1" si="73">$M73*$N73*CO73</f>
        <v>2.0439529411763515</v>
      </c>
      <c r="CS73" s="37">
        <f t="shared" ref="CS73:CS79" ca="1" si="74">$O73*$M73*CO73</f>
        <v>0.25322006796368529</v>
      </c>
      <c r="CT73" s="37">
        <f t="shared" ref="CT73:CT79" ca="1" si="75">CS73*(1-$P73)*CO73</f>
        <v>0.23870058086651122</v>
      </c>
      <c r="CU73" s="37">
        <f t="shared" ref="CU73:CU79" ca="1" si="76">$Q73*$M73*CO73</f>
        <v>39.390326270931169</v>
      </c>
      <c r="CV73" s="37">
        <f t="shared" ref="CV73:CV79" ca="1" si="77">$M73*CO73</f>
        <v>2.8955999999998312</v>
      </c>
      <c r="CW73" s="37">
        <f t="shared" ref="CW73:CW79" ca="1" si="78">$M73*$N73*CP73</f>
        <v>0</v>
      </c>
      <c r="CX73" s="37">
        <f t="shared" ref="CX73:CX79" ca="1" si="79">$O73*$M73*CP73</f>
        <v>0</v>
      </c>
      <c r="CY73" s="37">
        <f t="shared" ref="CY73:CY79" ca="1" si="80">CX73*(1-$P73)*CP73</f>
        <v>0</v>
      </c>
      <c r="CZ73" s="37">
        <f t="shared" ref="CZ73:CZ79" ca="1" si="81">$Q73*$M73*CP73</f>
        <v>0</v>
      </c>
      <c r="DA73" s="37">
        <f t="shared" ref="DA73:DA79" ca="1" si="82">$M73*CP73</f>
        <v>0</v>
      </c>
      <c r="DB73" s="37">
        <f t="shared" ref="DB73:DB79" ca="1" si="83">$M73*$N73*CQ73</f>
        <v>0</v>
      </c>
      <c r="DC73" s="37">
        <f t="shared" ref="DC73:DC79" ca="1" si="84">$O73*$M73*CQ73</f>
        <v>0</v>
      </c>
      <c r="DD73" s="37">
        <f t="shared" ref="DD73:DD79" ca="1" si="85">DC73*(1-$P73)*CQ73</f>
        <v>0</v>
      </c>
      <c r="DE73" s="37">
        <f t="shared" ref="DE73:DE79" ca="1" si="86">$Q73*$M73*CQ73</f>
        <v>0</v>
      </c>
      <c r="DF73" s="37">
        <f t="shared" ref="DF73:DF79" ca="1" si="87">$M73*CQ73</f>
        <v>0</v>
      </c>
      <c r="DG73" s="37" t="s">
        <v>333</v>
      </c>
      <c r="DH73" s="94">
        <v>169</v>
      </c>
      <c r="DI73" s="134">
        <v>2052.9</v>
      </c>
      <c r="DJ73" s="37">
        <f t="shared" ref="DJ73:DJ79" ca="1" si="88">P73</f>
        <v>5.7339401311811977E-2</v>
      </c>
      <c r="DK73" s="37">
        <f t="shared" ref="DK73:DK79" ca="1" si="89">O73</f>
        <v>8.7449947494025446E-2</v>
      </c>
      <c r="DL73" s="37">
        <f t="shared" ref="DL73:DL79" ca="1" si="90">Q73</f>
        <v>13.603510937606529</v>
      </c>
      <c r="DM73" s="37">
        <f t="shared" ref="DM73:DM79" ca="1" si="91">O73</f>
        <v>8.7449947494025446E-2</v>
      </c>
      <c r="DN73" s="37">
        <f t="shared" ref="DN73:DO79" si="92">D73</f>
        <v>0.3</v>
      </c>
      <c r="DO73" s="37">
        <f t="shared" si="92"/>
        <v>0</v>
      </c>
      <c r="DP73" s="37">
        <f t="shared" ref="DP73:DP79" si="93">C73</f>
        <v>182.9</v>
      </c>
      <c r="DQ73" s="37">
        <f t="shared" ref="DQ73:DQ79" ca="1" si="94">O73</f>
        <v>8.7449947494025446E-2</v>
      </c>
      <c r="DR73" s="37" t="s">
        <v>333</v>
      </c>
      <c r="DS73" s="114"/>
    </row>
    <row r="74" spans="1:123">
      <c r="A74" s="178">
        <f>6735.5/$L$9</f>
        <v>2052.9804000000022</v>
      </c>
      <c r="B74" s="135">
        <f>6739.5/$L$9</f>
        <v>2054.1996000000022</v>
      </c>
      <c r="C74" s="135">
        <v>223.77500000000001</v>
      </c>
      <c r="D74" s="136">
        <v>0.12925</v>
      </c>
      <c r="E74" s="136">
        <v>-5.0500000000000003E-2</v>
      </c>
      <c r="F74" s="137">
        <f>51*$L$9</f>
        <v>167.3228346456691</v>
      </c>
      <c r="G74" s="137">
        <v>36.5</v>
      </c>
      <c r="H74" s="137">
        <v>-47</v>
      </c>
      <c r="I74" s="138">
        <v>3</v>
      </c>
      <c r="J74" s="137">
        <v>32</v>
      </c>
      <c r="K74" s="137">
        <v>100</v>
      </c>
      <c r="L74" s="135">
        <v>1010</v>
      </c>
      <c r="M74" s="126">
        <f t="shared" si="8"/>
        <v>1.2192000000000007</v>
      </c>
      <c r="N74" s="45">
        <f t="shared" si="9"/>
        <v>0.06</v>
      </c>
      <c r="O74" s="127">
        <f t="shared" ca="1" si="10"/>
        <v>4.7167220589995111E-2</v>
      </c>
      <c r="P74" s="45">
        <f t="shared" ca="1" si="11"/>
        <v>0.27890528142899207</v>
      </c>
      <c r="Q74" s="128">
        <f t="shared" ca="1" si="12"/>
        <v>1.415559850152779E-2</v>
      </c>
      <c r="R74" s="127">
        <f t="shared" ca="1" si="13"/>
        <v>-1.5837959519045433</v>
      </c>
      <c r="S74" s="127">
        <f t="shared" ca="1" si="14"/>
        <v>1.3155186932875935E-2</v>
      </c>
      <c r="T74" s="45" t="str">
        <f t="shared" ref="T74:T79" ca="1" si="95">IF(OR($O$9&gt;A74,$Q$9&lt;B74),"XCLUD",IF(CQ74=0,IF(N74&gt;$O$8,"SHALY",IF(OR(O74&lt;$P$8,Q74&lt;$R$8),"TIGHT","  WET")),IF(S74&lt;1.2*$C$51/(1-N74+0.01),IF($I$51,"  GAS","  OIL"),"  H2O")))</f>
        <v>TIGHT</v>
      </c>
      <c r="U74" s="129">
        <f ca="1">(U73-DE73)</f>
        <v>163.15875978461381</v>
      </c>
      <c r="V74" s="129">
        <f t="shared" ca="1" si="16"/>
        <v>2830.4939487996653</v>
      </c>
      <c r="W74" s="45">
        <f t="shared" ca="1" si="17"/>
        <v>0.84135715716978388</v>
      </c>
      <c r="X74" s="45">
        <f t="shared" si="18"/>
        <v>0.15864284283021604</v>
      </c>
      <c r="Y74" s="45">
        <f t="shared" ca="1" si="19"/>
        <v>0</v>
      </c>
      <c r="Z74" s="128">
        <f t="shared" si="20"/>
        <v>-1042.9804000000022</v>
      </c>
      <c r="AA74" s="130">
        <f t="shared" si="21"/>
        <v>6.7493664475892695E-2</v>
      </c>
      <c r="AB74" s="131" t="e">
        <f>NA()</f>
        <v>#N/A</v>
      </c>
      <c r="AC74" s="131" t="e">
        <f>NA()</f>
        <v>#N/A</v>
      </c>
      <c r="AD74" s="131" t="e">
        <f>NA()</f>
        <v>#N/A</v>
      </c>
      <c r="AE74" s="131" t="e">
        <f>NA()</f>
        <v>#N/A</v>
      </c>
      <c r="AF74" s="131" t="e">
        <f>NA()</f>
        <v>#N/A</v>
      </c>
      <c r="AG74" s="131" t="e">
        <f>NA()</f>
        <v>#N/A</v>
      </c>
      <c r="AH74" s="131" t="e">
        <f>NA()</f>
        <v>#N/A</v>
      </c>
      <c r="AI74" s="132">
        <f t="shared" si="22"/>
        <v>50.645879732739424</v>
      </c>
      <c r="AJ74" s="37">
        <f t="shared" si="23"/>
        <v>6.6176470588235295E-2</v>
      </c>
      <c r="AK74" s="37">
        <f t="shared" si="24"/>
        <v>1</v>
      </c>
      <c r="AL74" s="37">
        <f t="shared" si="25"/>
        <v>0.06</v>
      </c>
      <c r="AM74" s="37">
        <f t="shared" si="26"/>
        <v>0.84011318269083934</v>
      </c>
      <c r="AN74" s="37">
        <f t="shared" si="27"/>
        <v>0.06</v>
      </c>
      <c r="AO74" s="132">
        <f t="shared" si="28"/>
        <v>2733.3249999999998</v>
      </c>
      <c r="AP74" s="133">
        <f t="shared" si="29"/>
        <v>4.0651574350725533E-3</v>
      </c>
      <c r="AQ74" s="133">
        <f t="shared" si="30"/>
        <v>0.12425</v>
      </c>
      <c r="AR74" s="133">
        <f t="shared" si="31"/>
        <v>2.0713522539925158E-2</v>
      </c>
      <c r="AS74" s="133">
        <f t="shared" si="32"/>
        <v>9.4863249827641192E-4</v>
      </c>
      <c r="AT74" s="133">
        <f t="shared" si="33"/>
        <v>0.11255</v>
      </c>
      <c r="AU74" s="133">
        <f t="shared" si="34"/>
        <v>-3.9572070624713664E-2</v>
      </c>
      <c r="AV74" s="133">
        <f t="shared" si="35"/>
        <v>0.10795332543042722</v>
      </c>
      <c r="AW74" s="133">
        <f t="shared" si="36"/>
        <v>9.7157895816029211E-2</v>
      </c>
      <c r="AX74" s="133">
        <f t="shared" si="37"/>
        <v>-2.0500000000000004E-2</v>
      </c>
      <c r="AY74" s="133">
        <f t="shared" si="38"/>
        <v>8.7250000000000008E-2</v>
      </c>
      <c r="AZ74" s="133">
        <f t="shared" si="39"/>
        <v>4.7167220589995111E-2</v>
      </c>
      <c r="BA74" s="132">
        <f t="shared" si="40"/>
        <v>2830.4939487996653</v>
      </c>
      <c r="BB74" s="133">
        <f t="shared" si="41"/>
        <v>4.7167220589995111E-2</v>
      </c>
      <c r="BC74" s="132">
        <f t="shared" ca="1" si="42"/>
        <v>2823.9926601027109</v>
      </c>
      <c r="BD74" s="133">
        <f t="shared" ca="1" si="43"/>
        <v>4.9708347015829289E-2</v>
      </c>
      <c r="BE74" s="133">
        <f t="shared" si="44"/>
        <v>0.28199999999999997</v>
      </c>
      <c r="BF74" s="133">
        <f t="shared" ca="1" si="45"/>
        <v>4.7167220589995111E-2</v>
      </c>
      <c r="BG74" s="37">
        <f t="shared" ca="1" si="46"/>
        <v>0.36372193710863848</v>
      </c>
      <c r="BH74" s="37">
        <f t="shared" ca="1" si="47"/>
        <v>27.827770318318301</v>
      </c>
      <c r="BI74" s="37">
        <f t="shared" ca="1" si="48"/>
        <v>8.3483310954954898E-2</v>
      </c>
      <c r="BJ74" s="37">
        <f t="shared" ca="1" si="49"/>
        <v>0.27890528142899207</v>
      </c>
      <c r="BK74" s="37">
        <f t="shared" si="50"/>
        <v>0.91679546959840696</v>
      </c>
      <c r="BL74" s="37">
        <f t="shared" si="51"/>
        <v>4.5878072278077031</v>
      </c>
      <c r="BM74" s="37">
        <f t="shared" si="52"/>
        <v>0.14318476060285967</v>
      </c>
      <c r="BN74" s="37">
        <f t="shared" ca="1" si="53"/>
        <v>9.8627365549542462E-2</v>
      </c>
      <c r="BO74" s="37">
        <f t="shared" ca="1" si="54"/>
        <v>0.67663290772301543</v>
      </c>
      <c r="BP74" s="37">
        <f t="shared" ca="1" si="55"/>
        <v>0.27890528142899207</v>
      </c>
      <c r="BQ74" s="37" t="e">
        <f>NA()</f>
        <v>#N/A</v>
      </c>
      <c r="BR74" s="37" t="e">
        <f>NA()</f>
        <v>#N/A</v>
      </c>
      <c r="BS74" s="37" t="e">
        <f>NA()</f>
        <v>#N/A</v>
      </c>
      <c r="BT74" s="37">
        <f t="shared" ca="1" si="56"/>
        <v>1.415559850152779E-2</v>
      </c>
      <c r="BU74" s="37">
        <f t="shared" ca="1" si="57"/>
        <v>9.8707505900903589E-2</v>
      </c>
      <c r="BV74" s="37">
        <f t="shared" ca="1" si="58"/>
        <v>1.2850993901845533</v>
      </c>
      <c r="BW74" s="37">
        <f t="shared" ca="1" si="59"/>
        <v>0.1090633549207263</v>
      </c>
      <c r="BX74" s="37" t="e">
        <f>NA()</f>
        <v>#N/A</v>
      </c>
      <c r="BY74" s="37">
        <f>BY73+1</f>
        <v>74</v>
      </c>
      <c r="BZ74" s="37" t="e">
        <f>NA()</f>
        <v>#N/A</v>
      </c>
      <c r="CA74" s="37">
        <f t="shared" ca="1" si="60"/>
        <v>0.82042703999847866</v>
      </c>
      <c r="CB74" s="37">
        <f t="shared" ref="CB74:CB79" si="96">(I74-$B$34-$CD$69*N74)/$CB$69</f>
        <v>0.75206384902382728</v>
      </c>
      <c r="CC74" s="37">
        <f t="shared" si="61"/>
        <v>0.7895774481528236</v>
      </c>
      <c r="CD74" s="37">
        <f t="shared" si="62"/>
        <v>0.52304941678055994</v>
      </c>
      <c r="CE74" s="37">
        <f t="shared" si="63"/>
        <v>0.4079487343927567</v>
      </c>
      <c r="CF74" s="37">
        <f t="shared" si="64"/>
        <v>1.0993586277166971</v>
      </c>
      <c r="CG74" s="37">
        <f t="shared" si="65"/>
        <v>-0.4145267010675765</v>
      </c>
      <c r="CH74" s="37">
        <f t="shared" si="66"/>
        <v>-0.19184371836588468</v>
      </c>
      <c r="CI74" s="37">
        <f t="shared" si="67"/>
        <v>1</v>
      </c>
      <c r="CJ74" s="37">
        <f t="shared" si="68"/>
        <v>0</v>
      </c>
      <c r="CK74" s="37">
        <f t="shared" si="69"/>
        <v>-4.007457488669066E-2</v>
      </c>
      <c r="CL74" s="37">
        <f t="shared" si="70"/>
        <v>0.16500038731545302</v>
      </c>
      <c r="CM74" s="37">
        <f t="shared" si="71"/>
        <v>0.84135715716978388</v>
      </c>
      <c r="CN74" s="37">
        <f t="shared" si="72"/>
        <v>0.15864284283021604</v>
      </c>
      <c r="CO74" s="37">
        <f t="shared" ref="CO74:CO79" ca="1" si="97">(N74&lt;=$O$6)*(O74&gt;=$P$6)*(P74&lt;=$Q$6)*(Q74&gt;=$R$6)*(A74&gt;=$O$9)*(B74&lt;=$Q$9)</f>
        <v>1</v>
      </c>
      <c r="CP74" s="37">
        <f t="shared" ref="CP74:CP79" ca="1" si="98">(N74&lt;=$O$7)*(O74&gt;=$P$7)*(P74&lt;=$Q$7)*(Q74&gt;=$R$7)*(A74&gt;=$O$9)*(B74&lt;=$Q$9)</f>
        <v>0</v>
      </c>
      <c r="CQ74" s="37">
        <f t="shared" ref="CQ74:CQ79" ca="1" si="99">(N74&lt;=$O$8)*(O74&gt;=$P$8)*(P74&lt;=$Q$8)*(Q74&gt;=$R$8)*(A74&gt;=$O$9)*(B74&lt;=$Q$9)</f>
        <v>0</v>
      </c>
      <c r="CR74" s="37">
        <f t="shared" ca="1" si="73"/>
        <v>7.3152000000000036E-2</v>
      </c>
      <c r="CS74" s="37">
        <f t="shared" ca="1" si="74"/>
        <v>5.7506275343322075E-2</v>
      </c>
      <c r="CT74" s="37">
        <f t="shared" ca="1" si="75"/>
        <v>4.1467471434759727E-2</v>
      </c>
      <c r="CU74" s="37">
        <f t="shared" ca="1" si="76"/>
        <v>1.7258505693062691E-2</v>
      </c>
      <c r="CV74" s="37">
        <f t="shared" ca="1" si="77"/>
        <v>1.2192000000000007</v>
      </c>
      <c r="CW74" s="37">
        <f t="shared" ca="1" si="78"/>
        <v>0</v>
      </c>
      <c r="CX74" s="37">
        <f t="shared" ca="1" si="79"/>
        <v>0</v>
      </c>
      <c r="CY74" s="37">
        <f t="shared" ca="1" si="80"/>
        <v>0</v>
      </c>
      <c r="CZ74" s="37">
        <f t="shared" ca="1" si="81"/>
        <v>0</v>
      </c>
      <c r="DA74" s="37">
        <f t="shared" ca="1" si="82"/>
        <v>0</v>
      </c>
      <c r="DB74" s="37">
        <f t="shared" ca="1" si="83"/>
        <v>0</v>
      </c>
      <c r="DC74" s="37">
        <f t="shared" ca="1" si="84"/>
        <v>0</v>
      </c>
      <c r="DD74" s="37">
        <f t="shared" ca="1" si="85"/>
        <v>0</v>
      </c>
      <c r="DE74" s="37">
        <f t="shared" ca="1" si="86"/>
        <v>0</v>
      </c>
      <c r="DF74" s="37">
        <f t="shared" ca="1" si="87"/>
        <v>0</v>
      </c>
      <c r="DG74" s="37" t="s">
        <v>333</v>
      </c>
      <c r="DH74" s="94">
        <v>167.25</v>
      </c>
      <c r="DI74" s="134">
        <v>2054.1</v>
      </c>
      <c r="DJ74" s="37">
        <f t="shared" ca="1" si="88"/>
        <v>0.27890528142899207</v>
      </c>
      <c r="DK74" s="37">
        <f t="shared" ca="1" si="89"/>
        <v>4.7167220589995111E-2</v>
      </c>
      <c r="DL74" s="37">
        <f t="shared" ca="1" si="90"/>
        <v>1.415559850152779E-2</v>
      </c>
      <c r="DM74" s="37">
        <f t="shared" ca="1" si="91"/>
        <v>4.7167220589995111E-2</v>
      </c>
      <c r="DN74" s="37">
        <f t="shared" si="92"/>
        <v>0.12925</v>
      </c>
      <c r="DO74" s="37">
        <f t="shared" si="92"/>
        <v>-5.0500000000000003E-2</v>
      </c>
      <c r="DP74" s="37">
        <f t="shared" si="93"/>
        <v>223.77500000000001</v>
      </c>
      <c r="DQ74" s="37">
        <f t="shared" ca="1" si="94"/>
        <v>4.7167220589995111E-2</v>
      </c>
      <c r="DR74" s="37" t="s">
        <v>333</v>
      </c>
      <c r="DS74" s="114"/>
    </row>
    <row r="75" spans="1:123">
      <c r="A75" s="178">
        <f>6739.5/$L$9</f>
        <v>2054.1996000000022</v>
      </c>
      <c r="B75" s="135">
        <f>6744.5/$L$9</f>
        <v>2055.7236000000021</v>
      </c>
      <c r="C75" s="135">
        <v>63.32</v>
      </c>
      <c r="D75" s="136">
        <v>0.1278</v>
      </c>
      <c r="E75" s="136">
        <v>7.6999999999999999E-2</v>
      </c>
      <c r="F75" s="137">
        <f>62.8*$L$9</f>
        <v>206.03674540682391</v>
      </c>
      <c r="G75" s="137">
        <v>37.6</v>
      </c>
      <c r="H75" s="137">
        <v>-46.8</v>
      </c>
      <c r="I75" s="138">
        <v>2.5240478756000502</v>
      </c>
      <c r="J75" s="137">
        <v>32</v>
      </c>
      <c r="K75" s="137">
        <v>100</v>
      </c>
      <c r="L75" s="135">
        <v>1010</v>
      </c>
      <c r="M75" s="126">
        <f t="shared" si="8"/>
        <v>1.5239999999998872</v>
      </c>
      <c r="N75" s="45">
        <f t="shared" si="9"/>
        <v>0</v>
      </c>
      <c r="O75" s="127">
        <f t="shared" ca="1" si="10"/>
        <v>0.11786089034634956</v>
      </c>
      <c r="P75" s="45">
        <f t="shared" ca="1" si="11"/>
        <v>0.25578542122420922</v>
      </c>
      <c r="Q75" s="128">
        <f t="shared" ca="1" si="12"/>
        <v>4.1372830197390753</v>
      </c>
      <c r="R75" s="127">
        <f t="shared" ca="1" si="13"/>
        <v>1.0311992284969758</v>
      </c>
      <c r="S75" s="127">
        <f t="shared" ca="1" si="14"/>
        <v>3.0147097483101355E-2</v>
      </c>
      <c r="T75" s="45" t="str">
        <f t="shared" ca="1" si="95"/>
        <v xml:space="preserve">  OIL</v>
      </c>
      <c r="U75" s="129">
        <f t="shared" ca="1" si="15"/>
        <v>163.15875978461381</v>
      </c>
      <c r="V75" s="129">
        <f t="shared" ca="1" si="16"/>
        <v>2726.4283867857848</v>
      </c>
      <c r="W75" s="45">
        <f t="shared" ca="1" si="17"/>
        <v>0</v>
      </c>
      <c r="X75" s="45">
        <f t="shared" si="18"/>
        <v>0.72135089942591291</v>
      </c>
      <c r="Y75" s="45">
        <f t="shared" ca="1" si="19"/>
        <v>0.27864910057408709</v>
      </c>
      <c r="Z75" s="128">
        <f t="shared" si="20"/>
        <v>-1044.1996000000022</v>
      </c>
      <c r="AA75" s="130">
        <f t="shared" si="21"/>
        <v>6.7474174846537852E-2</v>
      </c>
      <c r="AB75" s="131" t="e">
        <f>NA()</f>
        <v>#N/A</v>
      </c>
      <c r="AC75" s="131" t="e">
        <f>NA()</f>
        <v>#N/A</v>
      </c>
      <c r="AD75" s="131" t="e">
        <f>NA()</f>
        <v>#N/A</v>
      </c>
      <c r="AE75" s="131" t="e">
        <f>NA()</f>
        <v>#N/A</v>
      </c>
      <c r="AF75" s="131" t="e">
        <f>NA()</f>
        <v>#N/A</v>
      </c>
      <c r="AG75" s="131" t="e">
        <f>NA()</f>
        <v>#N/A</v>
      </c>
      <c r="AH75" s="131" t="e">
        <f>NA()</f>
        <v>#N/A</v>
      </c>
      <c r="AI75" s="132">
        <f t="shared" si="22"/>
        <v>50.666718764245438</v>
      </c>
      <c r="AJ75" s="37">
        <f t="shared" si="23"/>
        <v>8.2352941176470615E-2</v>
      </c>
      <c r="AK75" s="37">
        <f t="shared" si="24"/>
        <v>1</v>
      </c>
      <c r="AL75" s="37">
        <f t="shared" si="25"/>
        <v>6.4000000000000057E-2</v>
      </c>
      <c r="AM75" s="37">
        <f t="shared" si="26"/>
        <v>-1.4976744933286584E-2</v>
      </c>
      <c r="AN75" s="37">
        <f t="shared" si="27"/>
        <v>0</v>
      </c>
      <c r="AO75" s="132">
        <f t="shared" si="28"/>
        <v>2522.9500000000003</v>
      </c>
      <c r="AP75" s="133">
        <f t="shared" si="29"/>
        <v>0.12494254194438049</v>
      </c>
      <c r="AQ75" s="133">
        <f t="shared" si="30"/>
        <v>0.12279999999999999</v>
      </c>
      <c r="AR75" s="133">
        <f t="shared" si="31"/>
        <v>0.11411124555109778</v>
      </c>
      <c r="AS75" s="133">
        <f t="shared" si="32"/>
        <v>0.12494254194438049</v>
      </c>
      <c r="AT75" s="133">
        <f t="shared" si="33"/>
        <v>0.12279999999999999</v>
      </c>
      <c r="AU75" s="133">
        <f t="shared" si="34"/>
        <v>0.12387590320058876</v>
      </c>
      <c r="AV75" s="133">
        <f t="shared" si="35"/>
        <v>0.12309052173364013</v>
      </c>
      <c r="AW75" s="133">
        <f t="shared" si="36"/>
        <v>0.12309052173364013</v>
      </c>
      <c r="AX75" s="133">
        <f t="shared" si="37"/>
        <v>0.107</v>
      </c>
      <c r="AY75" s="133">
        <f t="shared" si="38"/>
        <v>9.7799999999999998E-2</v>
      </c>
      <c r="AZ75" s="133">
        <f t="shared" si="39"/>
        <v>0.10135854473989075</v>
      </c>
      <c r="BA75" s="132">
        <f t="shared" si="40"/>
        <v>2694.7248439136238</v>
      </c>
      <c r="BB75" s="133">
        <f t="shared" si="41"/>
        <v>0.11786089034634956</v>
      </c>
      <c r="BC75" s="132">
        <f t="shared" ca="1" si="42"/>
        <v>2733.5947301722263</v>
      </c>
      <c r="BD75" s="133">
        <f t="shared" ca="1" si="43"/>
        <v>0.12150748182725453</v>
      </c>
      <c r="BE75" s="133">
        <f t="shared" si="44"/>
        <v>0.3</v>
      </c>
      <c r="BF75" s="133">
        <f t="shared" ca="1" si="45"/>
        <v>0.11786089034634956</v>
      </c>
      <c r="BG75" s="37">
        <f t="shared" ca="1" si="46"/>
        <v>0.25578542122420922</v>
      </c>
      <c r="BH75" s="37">
        <f t="shared" ca="1" si="47"/>
        <v>4.142785825930777</v>
      </c>
      <c r="BI75" s="37">
        <f t="shared" ca="1" si="48"/>
        <v>0</v>
      </c>
      <c r="BJ75" s="37">
        <f t="shared" ca="1" si="49"/>
        <v>0.25578542122420922</v>
      </c>
      <c r="BK75" s="37">
        <f t="shared" si="50"/>
        <v>1</v>
      </c>
      <c r="BL75" s="37">
        <f t="shared" si="51"/>
        <v>3.7738800162617765</v>
      </c>
      <c r="BM75" s="37">
        <f t="shared" si="52"/>
        <v>0.24413137159981474</v>
      </c>
      <c r="BN75" s="37">
        <f t="shared" ca="1" si="53"/>
        <v>0.25474763553868268</v>
      </c>
      <c r="BO75" s="37">
        <f t="shared" ca="1" si="54"/>
        <v>0.2545373610520088</v>
      </c>
      <c r="BP75" s="37">
        <f t="shared" ca="1" si="55"/>
        <v>0.2545373610520088</v>
      </c>
      <c r="BQ75" s="37" t="e">
        <f>NA()</f>
        <v>#N/A</v>
      </c>
      <c r="BR75" s="37" t="e">
        <f>NA()</f>
        <v>#N/A</v>
      </c>
      <c r="BS75" s="37" t="e">
        <f>NA()</f>
        <v>#N/A</v>
      </c>
      <c r="BT75" s="37">
        <f t="shared" ca="1" si="56"/>
        <v>4.1372830197390753</v>
      </c>
      <c r="BU75" s="37">
        <f t="shared" ca="1" si="57"/>
        <v>6.6645385093835383</v>
      </c>
      <c r="BV75" s="37">
        <f t="shared" ca="1" si="58"/>
        <v>9.2900337915219282</v>
      </c>
      <c r="BW75" s="37">
        <f t="shared" ca="1" si="59"/>
        <v>3.9168738778246093</v>
      </c>
      <c r="BX75" s="37" t="e">
        <f>NA()</f>
        <v>#N/A</v>
      </c>
      <c r="BY75" s="37">
        <f t="shared" si="7"/>
        <v>75</v>
      </c>
      <c r="BZ75" s="37" t="e">
        <f>NA()</f>
        <v>#N/A</v>
      </c>
      <c r="CA75" s="37">
        <f t="shared" ca="1" si="60"/>
        <v>0.34740175811720375</v>
      </c>
      <c r="CB75" s="37">
        <f t="shared" si="96"/>
        <v>0.54069981620271479</v>
      </c>
      <c r="CC75" s="37">
        <f t="shared" si="61"/>
        <v>0.81625474123599739</v>
      </c>
      <c r="CD75" s="37">
        <f t="shared" si="62"/>
        <v>0.59082008866885383</v>
      </c>
      <c r="CE75" s="37">
        <f t="shared" si="63"/>
        <v>-0.40102215315645978</v>
      </c>
      <c r="CF75" s="37">
        <f t="shared" si="64"/>
        <v>0.35417346642048242</v>
      </c>
      <c r="CG75" s="37">
        <f t="shared" si="65"/>
        <v>-0.45276868593670544</v>
      </c>
      <c r="CH75" s="37">
        <f t="shared" si="66"/>
        <v>0.54480927014600211</v>
      </c>
      <c r="CI75" s="37">
        <f t="shared" si="67"/>
        <v>0.62498553594943163</v>
      </c>
      <c r="CJ75" s="37">
        <f t="shared" si="68"/>
        <v>0.37501446405056837</v>
      </c>
      <c r="CK75" s="37">
        <f t="shared" si="69"/>
        <v>0.35805262258648457</v>
      </c>
      <c r="CL75" s="37">
        <f t="shared" si="70"/>
        <v>0.92690620860588724</v>
      </c>
      <c r="CM75" s="37">
        <f t="shared" si="71"/>
        <v>0</v>
      </c>
      <c r="CN75" s="37">
        <f t="shared" si="72"/>
        <v>0.72135089942591291</v>
      </c>
      <c r="CO75" s="37">
        <f t="shared" ca="1" si="97"/>
        <v>1</v>
      </c>
      <c r="CP75" s="37">
        <f t="shared" ca="1" si="98"/>
        <v>1</v>
      </c>
      <c r="CQ75" s="37">
        <f t="shared" ca="1" si="99"/>
        <v>1</v>
      </c>
      <c r="CR75" s="37">
        <f t="shared" ca="1" si="73"/>
        <v>0</v>
      </c>
      <c r="CS75" s="37">
        <f t="shared" ca="1" si="74"/>
        <v>0.17961999688782343</v>
      </c>
      <c r="CT75" s="37">
        <f t="shared" ca="1" si="75"/>
        <v>0.13367582032358036</v>
      </c>
      <c r="CU75" s="37">
        <f t="shared" ca="1" si="76"/>
        <v>6.305219322081884</v>
      </c>
      <c r="CV75" s="37">
        <f t="shared" ca="1" si="77"/>
        <v>1.5239999999998872</v>
      </c>
      <c r="CW75" s="37">
        <f t="shared" ca="1" si="78"/>
        <v>0</v>
      </c>
      <c r="CX75" s="37">
        <f t="shared" ca="1" si="79"/>
        <v>0.17961999688782343</v>
      </c>
      <c r="CY75" s="37">
        <f t="shared" ca="1" si="80"/>
        <v>0.13367582032358036</v>
      </c>
      <c r="CZ75" s="37">
        <f t="shared" ca="1" si="81"/>
        <v>6.305219322081884</v>
      </c>
      <c r="DA75" s="37">
        <f t="shared" ca="1" si="82"/>
        <v>1.5239999999998872</v>
      </c>
      <c r="DB75" s="37">
        <f t="shared" ca="1" si="83"/>
        <v>0</v>
      </c>
      <c r="DC75" s="37">
        <f t="shared" ca="1" si="84"/>
        <v>0.17961999688782343</v>
      </c>
      <c r="DD75" s="37">
        <f t="shared" ca="1" si="85"/>
        <v>0.13367582032358036</v>
      </c>
      <c r="DE75" s="37">
        <f t="shared" ca="1" si="86"/>
        <v>6.305219322081884</v>
      </c>
      <c r="DF75" s="37">
        <f t="shared" ca="1" si="87"/>
        <v>1.5239999999998872</v>
      </c>
      <c r="DG75" s="37" t="s">
        <v>333</v>
      </c>
      <c r="DH75" s="94">
        <v>206</v>
      </c>
      <c r="DI75" s="134">
        <v>2055.6</v>
      </c>
      <c r="DJ75" s="37">
        <f t="shared" ca="1" si="88"/>
        <v>0.25578542122420922</v>
      </c>
      <c r="DK75" s="37">
        <f t="shared" ca="1" si="89"/>
        <v>0.11786089034634956</v>
      </c>
      <c r="DL75" s="37">
        <f t="shared" ca="1" si="90"/>
        <v>4.1372830197390753</v>
      </c>
      <c r="DM75" s="37">
        <f t="shared" ca="1" si="91"/>
        <v>0.11786089034634956</v>
      </c>
      <c r="DN75" s="37">
        <f t="shared" si="92"/>
        <v>0.1278</v>
      </c>
      <c r="DO75" s="37">
        <f t="shared" si="92"/>
        <v>7.6999999999999999E-2</v>
      </c>
      <c r="DP75" s="37">
        <f t="shared" si="93"/>
        <v>63.32</v>
      </c>
      <c r="DQ75" s="37">
        <f t="shared" ca="1" si="94"/>
        <v>0.11786089034634956</v>
      </c>
      <c r="DR75" s="37" t="s">
        <v>333</v>
      </c>
      <c r="DS75" s="114"/>
    </row>
    <row r="76" spans="1:123">
      <c r="A76" s="178">
        <f>6744.5/$L$9</f>
        <v>2055.7236000000021</v>
      </c>
      <c r="B76" s="135">
        <f>6747/$L$9</f>
        <v>2056.4856000000023</v>
      </c>
      <c r="C76" s="135">
        <v>54.366666666666703</v>
      </c>
      <c r="D76" s="136">
        <v>0.16966666666666699</v>
      </c>
      <c r="E76" s="136">
        <v>0.10299999999999999</v>
      </c>
      <c r="F76" s="137">
        <f>66.3*$L$9</f>
        <v>217.51968503936985</v>
      </c>
      <c r="G76" s="137">
        <v>34.3333333333333</v>
      </c>
      <c r="H76" s="137">
        <v>-45</v>
      </c>
      <c r="I76" s="138">
        <v>2.7641337562180399</v>
      </c>
      <c r="J76" s="137">
        <v>32</v>
      </c>
      <c r="K76" s="137">
        <v>100</v>
      </c>
      <c r="L76" s="135">
        <v>1010</v>
      </c>
      <c r="M76" s="126">
        <f t="shared" si="8"/>
        <v>0.76200000000017099</v>
      </c>
      <c r="N76" s="45">
        <f t="shared" si="9"/>
        <v>3.4313725490195589E-2</v>
      </c>
      <c r="O76" s="127">
        <f t="shared" ca="1" si="10"/>
        <v>0.14312790304580275</v>
      </c>
      <c r="P76" s="45">
        <f t="shared" ca="1" si="11"/>
        <v>0.2156706045529504</v>
      </c>
      <c r="Q76" s="128">
        <f t="shared" ca="1" si="12"/>
        <v>18.482637239513263</v>
      </c>
      <c r="R76" s="127">
        <f t="shared" ca="1" si="13"/>
        <v>1.7107626415516828</v>
      </c>
      <c r="S76" s="127">
        <f t="shared" ca="1" si="14"/>
        <v>3.0868481378284348E-2</v>
      </c>
      <c r="T76" s="45" t="str">
        <f t="shared" ca="1" si="95"/>
        <v xml:space="preserve">  OIL</v>
      </c>
      <c r="U76" s="129">
        <f t="shared" ca="1" si="15"/>
        <v>156.85354046253192</v>
      </c>
      <c r="V76" s="129">
        <f t="shared" ca="1" si="16"/>
        <v>2730.4940321836757</v>
      </c>
      <c r="W76" s="45">
        <f t="shared" ca="1" si="17"/>
        <v>0</v>
      </c>
      <c r="X76" s="45">
        <f t="shared" si="18"/>
        <v>0.68920884156390283</v>
      </c>
      <c r="Y76" s="45">
        <f t="shared" ca="1" si="19"/>
        <v>0.31079115843609717</v>
      </c>
      <c r="Z76" s="128">
        <f t="shared" si="20"/>
        <v>-1045.7236000000021</v>
      </c>
      <c r="AA76" s="130">
        <f t="shared" si="21"/>
        <v>6.7449828632520914E-2</v>
      </c>
      <c r="AB76" s="131" t="e">
        <f>NA()</f>
        <v>#N/A</v>
      </c>
      <c r="AC76" s="131" t="e">
        <f>NA()</f>
        <v>#N/A</v>
      </c>
      <c r="AD76" s="131" t="e">
        <f>NA()</f>
        <v>#N/A</v>
      </c>
      <c r="AE76" s="131" t="e">
        <f>NA()</f>
        <v>#N/A</v>
      </c>
      <c r="AF76" s="131" t="e">
        <f>NA()</f>
        <v>#N/A</v>
      </c>
      <c r="AG76" s="131" t="e">
        <f>NA()</f>
        <v>#N/A</v>
      </c>
      <c r="AH76" s="131" t="e">
        <f>NA()</f>
        <v>#N/A</v>
      </c>
      <c r="AI76" s="132">
        <f t="shared" si="22"/>
        <v>50.692767553627945</v>
      </c>
      <c r="AJ76" s="37">
        <f t="shared" si="23"/>
        <v>3.4313725490195589E-2</v>
      </c>
      <c r="AK76" s="37">
        <f t="shared" si="24"/>
        <v>1</v>
      </c>
      <c r="AL76" s="37">
        <f t="shared" si="25"/>
        <v>0.1</v>
      </c>
      <c r="AM76" s="37">
        <f t="shared" si="26"/>
        <v>0.10537423654566806</v>
      </c>
      <c r="AN76" s="37">
        <f t="shared" si="27"/>
        <v>3.4313725490195589E-2</v>
      </c>
      <c r="AO76" s="132">
        <f t="shared" si="28"/>
        <v>2480.0500000000002</v>
      </c>
      <c r="AP76" s="133">
        <f t="shared" si="29"/>
        <v>0.14959204780510221</v>
      </c>
      <c r="AQ76" s="133">
        <f t="shared" si="30"/>
        <v>0.16466666666666699</v>
      </c>
      <c r="AR76" s="133">
        <f t="shared" si="31"/>
        <v>0.13321278825341376</v>
      </c>
      <c r="AS76" s="133">
        <f t="shared" si="32"/>
        <v>0.14780972145235935</v>
      </c>
      <c r="AT76" s="133">
        <f t="shared" si="33"/>
        <v>0.15797549019607884</v>
      </c>
      <c r="AU76" s="133">
        <f t="shared" si="34"/>
        <v>0.14411869054026172</v>
      </c>
      <c r="AV76" s="133">
        <f t="shared" si="35"/>
        <v>0.16262259727651451</v>
      </c>
      <c r="AW76" s="133">
        <f t="shared" si="36"/>
        <v>0.15644874047089483</v>
      </c>
      <c r="AX76" s="133">
        <f t="shared" si="37"/>
        <v>0.13300000000000001</v>
      </c>
      <c r="AY76" s="133">
        <f t="shared" si="38"/>
        <v>0.13280392156862789</v>
      </c>
      <c r="AZ76" s="133">
        <f t="shared" si="39"/>
        <v>0.13288662668979304</v>
      </c>
      <c r="BA76" s="132">
        <f t="shared" si="40"/>
        <v>2709.2134424735209</v>
      </c>
      <c r="BB76" s="133">
        <f t="shared" si="41"/>
        <v>0.14312790304580275</v>
      </c>
      <c r="BC76" s="132">
        <f t="shared" ca="1" si="42"/>
        <v>2740.038026782222</v>
      </c>
      <c r="BD76" s="133">
        <f t="shared" ca="1" si="43"/>
        <v>0.14941514080758717</v>
      </c>
      <c r="BE76" s="133">
        <f t="shared" si="44"/>
        <v>0.28970588235294131</v>
      </c>
      <c r="BF76" s="133">
        <f t="shared" ca="1" si="45"/>
        <v>0.14312790304580275</v>
      </c>
      <c r="BG76" s="37">
        <f t="shared" ca="1" si="46"/>
        <v>0.22402176303308907</v>
      </c>
      <c r="BH76" s="37">
        <f t="shared" ca="1" si="47"/>
        <v>2.6348092934058043</v>
      </c>
      <c r="BI76" s="37">
        <f t="shared" ca="1" si="48"/>
        <v>4.520506140647149E-3</v>
      </c>
      <c r="BJ76" s="37">
        <f t="shared" ca="1" si="49"/>
        <v>0.2156706045529504</v>
      </c>
      <c r="BK76" s="37">
        <f t="shared" si="50"/>
        <v>0.96839829690712642</v>
      </c>
      <c r="BL76" s="37">
        <f t="shared" si="51"/>
        <v>2.0082308846477401</v>
      </c>
      <c r="BM76" s="37">
        <f t="shared" si="52"/>
        <v>0.19219428420564316</v>
      </c>
      <c r="BN76" s="37">
        <f t="shared" ca="1" si="53"/>
        <v>0.17511445982408794</v>
      </c>
      <c r="BO76" s="37">
        <f t="shared" ca="1" si="54"/>
        <v>0.21705054840197169</v>
      </c>
      <c r="BP76" s="37">
        <f t="shared" ca="1" si="55"/>
        <v>0.2156706045529504</v>
      </c>
      <c r="BQ76" s="37" t="e">
        <f>NA()</f>
        <v>#N/A</v>
      </c>
      <c r="BR76" s="37" t="e">
        <f>NA()</f>
        <v>#N/A</v>
      </c>
      <c r="BS76" s="37" t="e">
        <f>NA()</f>
        <v>#N/A</v>
      </c>
      <c r="BT76" s="37">
        <f t="shared" ca="1" si="56"/>
        <v>18.482637239513263</v>
      </c>
      <c r="BU76" s="37">
        <f t="shared" ca="1" si="57"/>
        <v>21.819834141793322</v>
      </c>
      <c r="BV76" s="37">
        <f t="shared" ca="1" si="58"/>
        <v>38.226548951168574</v>
      </c>
      <c r="BW76" s="37">
        <f t="shared" ca="1" si="59"/>
        <v>14.086849249036931</v>
      </c>
      <c r="BX76" s="37" t="e">
        <f>NA()</f>
        <v>#N/A</v>
      </c>
      <c r="BY76" s="37">
        <f t="shared" si="7"/>
        <v>76</v>
      </c>
      <c r="BZ76" s="37" t="e">
        <f>NA()</f>
        <v>#N/A</v>
      </c>
      <c r="CA76" s="37">
        <f t="shared" ca="1" si="60"/>
        <v>0.36588196447125315</v>
      </c>
      <c r="CB76" s="37">
        <f t="shared" si="96"/>
        <v>0.63747419191961208</v>
      </c>
      <c r="CC76" s="37">
        <f t="shared" si="61"/>
        <v>0.82260507559673202</v>
      </c>
      <c r="CD76" s="37">
        <f t="shared" si="62"/>
        <v>0.58492757740367884</v>
      </c>
      <c r="CE76" s="37">
        <f t="shared" si="63"/>
        <v>-0.59359175187927737</v>
      </c>
      <c r="CF76" s="37">
        <f t="shared" si="64"/>
        <v>0.41896568162556208</v>
      </c>
      <c r="CG76" s="37">
        <f t="shared" si="65"/>
        <v>-0.60706694625725133</v>
      </c>
      <c r="CH76" s="37">
        <f t="shared" si="66"/>
        <v>0.4455915557969452</v>
      </c>
      <c r="CI76" s="37">
        <f t="shared" si="67"/>
        <v>0.72272993552963216</v>
      </c>
      <c r="CJ76" s="37">
        <f t="shared" si="68"/>
        <v>0.27727006447036784</v>
      </c>
      <c r="CK76" s="37">
        <f t="shared" si="69"/>
        <v>0.39420948916132775</v>
      </c>
      <c r="CL76" s="37">
        <f t="shared" si="70"/>
        <v>0.87419689390629896</v>
      </c>
      <c r="CM76" s="37">
        <f t="shared" si="71"/>
        <v>0</v>
      </c>
      <c r="CN76" s="37">
        <f t="shared" si="72"/>
        <v>0.68920884156390283</v>
      </c>
      <c r="CO76" s="37">
        <f t="shared" ca="1" si="97"/>
        <v>1</v>
      </c>
      <c r="CP76" s="37">
        <f t="shared" ca="1" si="98"/>
        <v>1</v>
      </c>
      <c r="CQ76" s="37">
        <f t="shared" ca="1" si="99"/>
        <v>1</v>
      </c>
      <c r="CR76" s="37">
        <f t="shared" ca="1" si="73"/>
        <v>2.6147058823534904E-2</v>
      </c>
      <c r="CS76" s="37">
        <f t="shared" ca="1" si="74"/>
        <v>0.10906346212092617</v>
      </c>
      <c r="CT76" s="37">
        <f t="shared" ca="1" si="75"/>
        <v>8.5541679310668223E-2</v>
      </c>
      <c r="CU76" s="37">
        <f t="shared" ca="1" si="76"/>
        <v>14.083769576512267</v>
      </c>
      <c r="CV76" s="37">
        <f t="shared" ca="1" si="77"/>
        <v>0.76200000000017099</v>
      </c>
      <c r="CW76" s="37">
        <f t="shared" ca="1" si="78"/>
        <v>2.6147058823534904E-2</v>
      </c>
      <c r="CX76" s="37">
        <f t="shared" ca="1" si="79"/>
        <v>0.10906346212092617</v>
      </c>
      <c r="CY76" s="37">
        <f t="shared" ca="1" si="80"/>
        <v>8.5541679310668223E-2</v>
      </c>
      <c r="CZ76" s="37">
        <f t="shared" ca="1" si="81"/>
        <v>14.083769576512267</v>
      </c>
      <c r="DA76" s="37">
        <f t="shared" ca="1" si="82"/>
        <v>0.76200000000017099</v>
      </c>
      <c r="DB76" s="37">
        <f t="shared" ca="1" si="83"/>
        <v>2.6147058823534904E-2</v>
      </c>
      <c r="DC76" s="37">
        <f t="shared" ca="1" si="84"/>
        <v>0.10906346212092617</v>
      </c>
      <c r="DD76" s="37">
        <f t="shared" ca="1" si="85"/>
        <v>8.5541679310668223E-2</v>
      </c>
      <c r="DE76" s="37">
        <f t="shared" ca="1" si="86"/>
        <v>14.083769576512267</v>
      </c>
      <c r="DF76" s="37">
        <f t="shared" ca="1" si="87"/>
        <v>0.76200000000017099</v>
      </c>
      <c r="DG76" s="37" t="s">
        <v>333</v>
      </c>
      <c r="DH76" s="94">
        <v>217.66666667000001</v>
      </c>
      <c r="DI76" s="134">
        <v>2056.5</v>
      </c>
      <c r="DJ76" s="37">
        <f t="shared" ca="1" si="88"/>
        <v>0.2156706045529504</v>
      </c>
      <c r="DK76" s="37">
        <f t="shared" ca="1" si="89"/>
        <v>0.14312790304580275</v>
      </c>
      <c r="DL76" s="37">
        <f t="shared" ca="1" si="90"/>
        <v>18.482637239513263</v>
      </c>
      <c r="DM76" s="37">
        <f t="shared" ca="1" si="91"/>
        <v>0.14312790304580275</v>
      </c>
      <c r="DN76" s="37">
        <f t="shared" si="92"/>
        <v>0.16966666666666699</v>
      </c>
      <c r="DO76" s="37">
        <f t="shared" si="92"/>
        <v>0.10299999999999999</v>
      </c>
      <c r="DP76" s="37">
        <f t="shared" si="93"/>
        <v>54.366666666666703</v>
      </c>
      <c r="DQ76" s="37">
        <f t="shared" ca="1" si="94"/>
        <v>0.14312790304580275</v>
      </c>
      <c r="DR76" s="37" t="s">
        <v>333</v>
      </c>
      <c r="DS76" s="114"/>
    </row>
    <row r="77" spans="1:123">
      <c r="A77" s="178">
        <f>6747/$L$9</f>
        <v>2056.4856000000023</v>
      </c>
      <c r="B77" s="135">
        <f>6750/$L$9</f>
        <v>2057.4000000000024</v>
      </c>
      <c r="C77" s="135">
        <v>43.933333333333302</v>
      </c>
      <c r="D77" s="136">
        <v>0.17633333333333301</v>
      </c>
      <c r="E77" s="136">
        <v>0.148666666666667</v>
      </c>
      <c r="F77" s="137">
        <f>74.8*$L$9</f>
        <v>245.40682414698136</v>
      </c>
      <c r="G77" s="137">
        <v>32</v>
      </c>
      <c r="H77" s="137">
        <v>-45</v>
      </c>
      <c r="I77" s="138">
        <v>2.24657097182744</v>
      </c>
      <c r="J77" s="137">
        <v>32</v>
      </c>
      <c r="K77" s="137">
        <v>100</v>
      </c>
      <c r="L77" s="135">
        <v>1010</v>
      </c>
      <c r="M77" s="126">
        <f t="shared" si="8"/>
        <v>0.91440000000011423</v>
      </c>
      <c r="N77" s="45">
        <f t="shared" si="9"/>
        <v>0</v>
      </c>
      <c r="O77" s="127">
        <f t="shared" ca="1" si="10"/>
        <v>0.18022126325081503</v>
      </c>
      <c r="P77" s="45">
        <f t="shared" ca="1" si="11"/>
        <v>0.19453581027162084</v>
      </c>
      <c r="Q77" s="128">
        <f t="shared" ca="1" si="12"/>
        <v>123.65330446522979</v>
      </c>
      <c r="R77" s="127">
        <f t="shared" ca="1" si="13"/>
        <v>1.7818041344098667</v>
      </c>
      <c r="S77" s="127">
        <f t="shared" ca="1" si="14"/>
        <v>3.5059489474672384E-2</v>
      </c>
      <c r="T77" s="45" t="str">
        <f t="shared" ca="1" si="95"/>
        <v xml:space="preserve">  OIL</v>
      </c>
      <c r="U77" s="129">
        <f t="shared" ca="1" si="15"/>
        <v>142.76977088601967</v>
      </c>
      <c r="V77" s="129">
        <f t="shared" ca="1" si="16"/>
        <v>2713.5111427387192</v>
      </c>
      <c r="W77" s="45">
        <f t="shared" ca="1" si="17"/>
        <v>0</v>
      </c>
      <c r="X77" s="45">
        <f t="shared" si="18"/>
        <v>0.76455879794488968</v>
      </c>
      <c r="Y77" s="45">
        <f t="shared" ca="1" si="19"/>
        <v>0.23544120205511032</v>
      </c>
      <c r="Z77" s="128">
        <f t="shared" si="20"/>
        <v>-1046.4856000000023</v>
      </c>
      <c r="AA77" s="130">
        <f t="shared" si="21"/>
        <v>6.7437662112824037E-2</v>
      </c>
      <c r="AB77" s="131" t="e">
        <f>NA()</f>
        <v>#N/A</v>
      </c>
      <c r="AC77" s="131" t="e">
        <f>NA()</f>
        <v>#N/A</v>
      </c>
      <c r="AD77" s="131" t="e">
        <f>NA()</f>
        <v>#N/A</v>
      </c>
      <c r="AE77" s="131" t="e">
        <f>NA()</f>
        <v>#N/A</v>
      </c>
      <c r="AF77" s="131" t="e">
        <f>NA()</f>
        <v>#N/A</v>
      </c>
      <c r="AG77" s="131" t="e">
        <f>NA()</f>
        <v>#N/A</v>
      </c>
      <c r="AH77" s="131" t="e">
        <f>NA()</f>
        <v>#N/A</v>
      </c>
      <c r="AI77" s="132">
        <f t="shared" si="22"/>
        <v>50.705791948319202</v>
      </c>
      <c r="AJ77" s="37">
        <f t="shared" si="23"/>
        <v>0</v>
      </c>
      <c r="AK77" s="37">
        <f t="shared" si="24"/>
        <v>1</v>
      </c>
      <c r="AL77" s="37">
        <f t="shared" si="25"/>
        <v>0.1</v>
      </c>
      <c r="AM77" s="37">
        <f t="shared" si="26"/>
        <v>-0.15066177199056935</v>
      </c>
      <c r="AN77" s="37">
        <f t="shared" si="27"/>
        <v>0</v>
      </c>
      <c r="AO77" s="132">
        <f t="shared" si="28"/>
        <v>2404.6999999999994</v>
      </c>
      <c r="AP77" s="133">
        <f t="shared" si="29"/>
        <v>0.19288669271431896</v>
      </c>
      <c r="AQ77" s="133">
        <f t="shared" si="30"/>
        <v>0.171333333333333</v>
      </c>
      <c r="AR77" s="133">
        <f t="shared" si="31"/>
        <v>0.19902071083374018</v>
      </c>
      <c r="AS77" s="133">
        <f t="shared" si="32"/>
        <v>0.19288669271431896</v>
      </c>
      <c r="AT77" s="133">
        <f t="shared" si="33"/>
        <v>0.171333333333333</v>
      </c>
      <c r="AU77" s="133">
        <f t="shared" si="34"/>
        <v>0.18242859882345627</v>
      </c>
      <c r="AV77" s="133">
        <f t="shared" si="35"/>
        <v>0.17425589890996321</v>
      </c>
      <c r="AW77" s="133">
        <f t="shared" si="36"/>
        <v>0.17425589890996321</v>
      </c>
      <c r="AX77" s="133">
        <f t="shared" si="37"/>
        <v>0.178666666666667</v>
      </c>
      <c r="AY77" s="133">
        <f t="shared" si="38"/>
        <v>0.14633333333333301</v>
      </c>
      <c r="AZ77" s="133">
        <f t="shared" si="39"/>
        <v>0.16027644793960333</v>
      </c>
      <c r="BA77" s="132">
        <f t="shared" si="40"/>
        <v>2672.8124351798187</v>
      </c>
      <c r="BB77" s="133">
        <f t="shared" si="41"/>
        <v>0.18022126325081503</v>
      </c>
      <c r="BC77" s="132">
        <f t="shared" ca="1" si="42"/>
        <v>2720.6323606165333</v>
      </c>
      <c r="BD77" s="133">
        <f t="shared" ca="1" si="43"/>
        <v>0.18361409900679176</v>
      </c>
      <c r="BE77" s="133">
        <f t="shared" si="44"/>
        <v>0.3</v>
      </c>
      <c r="BF77" s="133">
        <f t="shared" ca="1" si="45"/>
        <v>0.18022126325081503</v>
      </c>
      <c r="BG77" s="37">
        <f t="shared" ca="1" si="46"/>
        <v>0.19453581027162087</v>
      </c>
      <c r="BH77" s="37">
        <f t="shared" ca="1" si="47"/>
        <v>1.6626210396017165</v>
      </c>
      <c r="BI77" s="37">
        <f t="shared" ca="1" si="48"/>
        <v>0</v>
      </c>
      <c r="BJ77" s="37">
        <f t="shared" ca="1" si="49"/>
        <v>0.19453581027162084</v>
      </c>
      <c r="BK77" s="37">
        <f t="shared" si="50"/>
        <v>1</v>
      </c>
      <c r="BL77" s="37">
        <f t="shared" si="51"/>
        <v>1.7873327295073083</v>
      </c>
      <c r="BM77" s="37">
        <f t="shared" si="52"/>
        <v>0.20169987373109727</v>
      </c>
      <c r="BN77" s="37">
        <f t="shared" ca="1" si="53"/>
        <v>0.19491540916142938</v>
      </c>
      <c r="BO77" s="37">
        <f t="shared" ca="1" si="54"/>
        <v>0.16646204481570423</v>
      </c>
      <c r="BP77" s="37">
        <f t="shared" ca="1" si="55"/>
        <v>0.16646204481570423</v>
      </c>
      <c r="BQ77" s="37" t="e">
        <f>NA()</f>
        <v>#N/A</v>
      </c>
      <c r="BR77" s="37" t="e">
        <f>NA()</f>
        <v>#N/A</v>
      </c>
      <c r="BS77" s="37" t="e">
        <f>NA()</f>
        <v>#N/A</v>
      </c>
      <c r="BT77" s="37">
        <f t="shared" ca="1" si="56"/>
        <v>123.65330446522979</v>
      </c>
      <c r="BU77" s="37">
        <f t="shared" ca="1" si="57"/>
        <v>100.96305391725875</v>
      </c>
      <c r="BV77" s="37">
        <f t="shared" ca="1" si="58"/>
        <v>121.96038192586043</v>
      </c>
      <c r="BW77" s="37">
        <f t="shared" ca="1" si="59"/>
        <v>92.229061952411371</v>
      </c>
      <c r="BX77" s="37" t="e">
        <f>NA()</f>
        <v>#N/A</v>
      </c>
      <c r="BY77" s="37">
        <f t="shared" si="7"/>
        <v>77</v>
      </c>
      <c r="BZ77" s="37" t="e">
        <f>NA()</f>
        <v>#N/A</v>
      </c>
      <c r="CA77" s="37">
        <f t="shared" ca="1" si="60"/>
        <v>0.28868701244872352</v>
      </c>
      <c r="CB77" s="37">
        <f t="shared" si="96"/>
        <v>0.33240179306251832</v>
      </c>
      <c r="CC77" s="37">
        <f t="shared" si="61"/>
        <v>0.80241645296261099</v>
      </c>
      <c r="CD77" s="37">
        <f t="shared" si="62"/>
        <v>0.60781689071162803</v>
      </c>
      <c r="CE77" s="37">
        <f t="shared" si="63"/>
        <v>1.8614588539203721E-2</v>
      </c>
      <c r="CF77" s="37">
        <f t="shared" si="64"/>
        <v>0.16728193474670094</v>
      </c>
      <c r="CG77" s="37">
        <f t="shared" si="65"/>
        <v>-8.9131765650030517E-2</v>
      </c>
      <c r="CH77" s="37">
        <f t="shared" si="66"/>
        <v>0.81283186876792191</v>
      </c>
      <c r="CI77" s="37">
        <f t="shared" si="67"/>
        <v>0.25368821808002595</v>
      </c>
      <c r="CJ77" s="37">
        <f t="shared" si="68"/>
        <v>0.74631178191997405</v>
      </c>
      <c r="CK77" s="37">
        <f t="shared" si="69"/>
        <v>0.3108175069460351</v>
      </c>
      <c r="CL77" s="37">
        <f t="shared" si="70"/>
        <v>1.0093316607993843</v>
      </c>
      <c r="CM77" s="37">
        <f t="shared" si="71"/>
        <v>0</v>
      </c>
      <c r="CN77" s="37">
        <f t="shared" si="72"/>
        <v>0.76455879794488968</v>
      </c>
      <c r="CO77" s="37">
        <f t="shared" ca="1" si="97"/>
        <v>1</v>
      </c>
      <c r="CP77" s="37">
        <f t="shared" ca="1" si="98"/>
        <v>1</v>
      </c>
      <c r="CQ77" s="37">
        <f t="shared" ca="1" si="99"/>
        <v>1</v>
      </c>
      <c r="CR77" s="37">
        <f t="shared" ca="1" si="73"/>
        <v>0</v>
      </c>
      <c r="CS77" s="37">
        <f t="shared" ca="1" si="74"/>
        <v>0.16479432311656586</v>
      </c>
      <c r="CT77" s="37">
        <f t="shared" ca="1" si="75"/>
        <v>0.13273592594092143</v>
      </c>
      <c r="CU77" s="37">
        <f t="shared" ca="1" si="76"/>
        <v>113.06858160302025</v>
      </c>
      <c r="CV77" s="37">
        <f t="shared" ca="1" si="77"/>
        <v>0.91440000000011423</v>
      </c>
      <c r="CW77" s="37">
        <f t="shared" ca="1" si="78"/>
        <v>0</v>
      </c>
      <c r="CX77" s="37">
        <f t="shared" ca="1" si="79"/>
        <v>0.16479432311656586</v>
      </c>
      <c r="CY77" s="37">
        <f t="shared" ca="1" si="80"/>
        <v>0.13273592594092143</v>
      </c>
      <c r="CZ77" s="37">
        <f t="shared" ca="1" si="81"/>
        <v>113.06858160302025</v>
      </c>
      <c r="DA77" s="37">
        <f t="shared" ca="1" si="82"/>
        <v>0.91440000000011423</v>
      </c>
      <c r="DB77" s="37">
        <f t="shared" ca="1" si="83"/>
        <v>0</v>
      </c>
      <c r="DC77" s="37">
        <f t="shared" ca="1" si="84"/>
        <v>0.16479432311656586</v>
      </c>
      <c r="DD77" s="37">
        <f t="shared" ca="1" si="85"/>
        <v>0.13273592594092143</v>
      </c>
      <c r="DE77" s="37">
        <f t="shared" ca="1" si="86"/>
        <v>113.06858160302025</v>
      </c>
      <c r="DF77" s="37">
        <f t="shared" ca="1" si="87"/>
        <v>0.91440000000011423</v>
      </c>
      <c r="DG77" s="37" t="s">
        <v>333</v>
      </c>
      <c r="DH77" s="94">
        <v>245.33333332999999</v>
      </c>
      <c r="DI77" s="134">
        <v>2057.4</v>
      </c>
      <c r="DJ77" s="37">
        <f t="shared" ca="1" si="88"/>
        <v>0.19453581027162084</v>
      </c>
      <c r="DK77" s="37">
        <f t="shared" ca="1" si="89"/>
        <v>0.18022126325081503</v>
      </c>
      <c r="DL77" s="37">
        <f t="shared" ca="1" si="90"/>
        <v>123.65330446522979</v>
      </c>
      <c r="DM77" s="37">
        <f t="shared" ca="1" si="91"/>
        <v>0.18022126325081503</v>
      </c>
      <c r="DN77" s="37">
        <f t="shared" si="92"/>
        <v>0.17633333333333301</v>
      </c>
      <c r="DO77" s="37">
        <f t="shared" si="92"/>
        <v>0.148666666666667</v>
      </c>
      <c r="DP77" s="37">
        <f t="shared" si="93"/>
        <v>43.933333333333302</v>
      </c>
      <c r="DQ77" s="37">
        <f t="shared" ca="1" si="94"/>
        <v>0.18022126325081503</v>
      </c>
      <c r="DR77" s="37" t="s">
        <v>333</v>
      </c>
      <c r="DS77" s="114"/>
    </row>
    <row r="78" spans="1:123">
      <c r="A78" s="178">
        <f>6750/$L$9</f>
        <v>2057.4000000000024</v>
      </c>
      <c r="B78" s="135">
        <f>6752/$L$9</f>
        <v>2058.0096000000021</v>
      </c>
      <c r="C78" s="135">
        <v>45.3</v>
      </c>
      <c r="D78" s="136">
        <v>0.155</v>
      </c>
      <c r="E78" s="136">
        <v>0.1265</v>
      </c>
      <c r="F78" s="137">
        <f>73.1*$L$9</f>
        <v>239.82939632545904</v>
      </c>
      <c r="G78" s="137">
        <v>32.5</v>
      </c>
      <c r="H78" s="137">
        <v>-44.5</v>
      </c>
      <c r="I78" s="138">
        <v>2.56828484111574</v>
      </c>
      <c r="J78" s="137">
        <v>32</v>
      </c>
      <c r="K78" s="137">
        <v>100</v>
      </c>
      <c r="L78" s="135">
        <v>1010</v>
      </c>
      <c r="M78" s="126">
        <f t="shared" si="8"/>
        <v>0.60959999999977299</v>
      </c>
      <c r="N78" s="45">
        <f t="shared" si="9"/>
        <v>0</v>
      </c>
      <c r="O78" s="127">
        <f t="shared" ca="1" si="10"/>
        <v>0.16041553492288399</v>
      </c>
      <c r="P78" s="45">
        <f t="shared" ca="1" si="11"/>
        <v>0.21708016781039011</v>
      </c>
      <c r="Q78" s="128">
        <f t="shared" ca="1" si="12"/>
        <v>48.722423364518519</v>
      </c>
      <c r="R78" s="127">
        <f t="shared" ca="1" si="13"/>
        <v>1.4306216288272369</v>
      </c>
      <c r="S78" s="127">
        <f t="shared" ca="1" si="14"/>
        <v>3.4823031240453148E-2</v>
      </c>
      <c r="T78" s="45" t="str">
        <f t="shared" ca="1" si="95"/>
        <v xml:space="preserve">  OIL</v>
      </c>
      <c r="U78" s="129">
        <f t="shared" ca="1" si="15"/>
        <v>29.701189282999422</v>
      </c>
      <c r="V78" s="129">
        <f t="shared" ca="1" si="16"/>
        <v>2716.6527728304477</v>
      </c>
      <c r="W78" s="45">
        <f t="shared" ca="1" si="17"/>
        <v>0</v>
      </c>
      <c r="X78" s="45">
        <f t="shared" si="18"/>
        <v>0.67933915725755589</v>
      </c>
      <c r="Y78" s="45">
        <f t="shared" ca="1" si="19"/>
        <v>0.32066084274244411</v>
      </c>
      <c r="Z78" s="128">
        <f t="shared" si="20"/>
        <v>-1047.4000000000024</v>
      </c>
      <c r="AA78" s="130">
        <f t="shared" si="21"/>
        <v>6.7423068081631315E-2</v>
      </c>
      <c r="AB78" s="131" t="e">
        <f>NA()</f>
        <v>#N/A</v>
      </c>
      <c r="AC78" s="131" t="e">
        <f>NA()</f>
        <v>#N/A</v>
      </c>
      <c r="AD78" s="131" t="e">
        <f>NA()</f>
        <v>#N/A</v>
      </c>
      <c r="AE78" s="131" t="e">
        <f>NA()</f>
        <v>#N/A</v>
      </c>
      <c r="AF78" s="131" t="e">
        <f>NA()</f>
        <v>#N/A</v>
      </c>
      <c r="AG78" s="131" t="e">
        <f>NA()</f>
        <v>#N/A</v>
      </c>
      <c r="AH78" s="131" t="e">
        <f>NA()</f>
        <v>#N/A</v>
      </c>
      <c r="AI78" s="132">
        <f t="shared" si="22"/>
        <v>50.721421221948717</v>
      </c>
      <c r="AJ78" s="37">
        <f t="shared" si="23"/>
        <v>7.3529411764705881E-3</v>
      </c>
      <c r="AK78" s="37">
        <f t="shared" si="24"/>
        <v>1</v>
      </c>
      <c r="AL78" s="37">
        <f t="shared" si="25"/>
        <v>0.11</v>
      </c>
      <c r="AM78" s="37">
        <f t="shared" si="26"/>
        <v>-0.15288499385488066</v>
      </c>
      <c r="AN78" s="37">
        <f t="shared" si="27"/>
        <v>0</v>
      </c>
      <c r="AO78" s="132">
        <f t="shared" si="28"/>
        <v>2441.2749999999996</v>
      </c>
      <c r="AP78" s="133">
        <f t="shared" si="29"/>
        <v>0.17187140887152405</v>
      </c>
      <c r="AQ78" s="133">
        <f t="shared" si="30"/>
        <v>0.15</v>
      </c>
      <c r="AR78" s="133">
        <f t="shared" si="31"/>
        <v>0.18699186991869915</v>
      </c>
      <c r="AS78" s="133">
        <f t="shared" si="32"/>
        <v>0.17187140887152405</v>
      </c>
      <c r="AT78" s="133">
        <f t="shared" si="33"/>
        <v>0.15</v>
      </c>
      <c r="AU78" s="133">
        <f t="shared" si="34"/>
        <v>0.16130682128707793</v>
      </c>
      <c r="AV78" s="133">
        <f t="shared" si="35"/>
        <v>0.15296569205525848</v>
      </c>
      <c r="AW78" s="133">
        <f t="shared" si="36"/>
        <v>0.15296569205525848</v>
      </c>
      <c r="AX78" s="133">
        <f t="shared" si="37"/>
        <v>0.1565</v>
      </c>
      <c r="AY78" s="133">
        <f t="shared" si="38"/>
        <v>0.125</v>
      </c>
      <c r="AZ78" s="133">
        <f t="shared" si="39"/>
        <v>0.13808753029603343</v>
      </c>
      <c r="BA78" s="132">
        <f t="shared" si="40"/>
        <v>2672.1825599007998</v>
      </c>
      <c r="BB78" s="133">
        <f t="shared" si="41"/>
        <v>0.16041553492288399</v>
      </c>
      <c r="BC78" s="132">
        <f t="shared" ca="1" si="42"/>
        <v>2746.1982528227331</v>
      </c>
      <c r="BD78" s="133">
        <f t="shared" ca="1" si="43"/>
        <v>0.17462121058122948</v>
      </c>
      <c r="BE78" s="133">
        <f t="shared" si="44"/>
        <v>0.3</v>
      </c>
      <c r="BF78" s="133">
        <f t="shared" ca="1" si="45"/>
        <v>0.16041553492288399</v>
      </c>
      <c r="BG78" s="37">
        <f t="shared" ca="1" si="46"/>
        <v>0.21708016781039011</v>
      </c>
      <c r="BH78" s="37">
        <f t="shared" ca="1" si="47"/>
        <v>2.134708106323397</v>
      </c>
      <c r="BI78" s="37">
        <f t="shared" ca="1" si="48"/>
        <v>0</v>
      </c>
      <c r="BJ78" s="37">
        <f t="shared" ca="1" si="49"/>
        <v>0.21708016781039011</v>
      </c>
      <c r="BK78" s="37">
        <f t="shared" si="50"/>
        <v>1</v>
      </c>
      <c r="BL78" s="37">
        <f t="shared" si="51"/>
        <v>2.3643556422804357</v>
      </c>
      <c r="BM78" s="37">
        <f t="shared" si="52"/>
        <v>0.22845848919780556</v>
      </c>
      <c r="BN78" s="37">
        <f t="shared" ca="1" si="53"/>
        <v>0.21771295172663677</v>
      </c>
      <c r="BO78" s="37">
        <f t="shared" ca="1" si="54"/>
        <v>0.18701430640381431</v>
      </c>
      <c r="BP78" s="37">
        <f t="shared" ca="1" si="55"/>
        <v>0.18701430640381431</v>
      </c>
      <c r="BQ78" s="37" t="e">
        <f>NA()</f>
        <v>#N/A</v>
      </c>
      <c r="BR78" s="37" t="e">
        <f>NA()</f>
        <v>#N/A</v>
      </c>
      <c r="BS78" s="37" t="e">
        <f>NA()</f>
        <v>#N/A</v>
      </c>
      <c r="BT78" s="37">
        <f t="shared" ca="1" si="56"/>
        <v>48.722423364518519</v>
      </c>
      <c r="BU78" s="37">
        <f t="shared" ca="1" si="57"/>
        <v>47.927083540401689</v>
      </c>
      <c r="BV78" s="37">
        <f t="shared" ca="1" si="58"/>
        <v>55.626419533551129</v>
      </c>
      <c r="BW78" s="37">
        <f t="shared" ca="1" si="59"/>
        <v>33.817520993533847</v>
      </c>
      <c r="BX78" s="37" t="e">
        <f>NA()</f>
        <v>#N/A</v>
      </c>
      <c r="BY78" s="37">
        <f t="shared" si="7"/>
        <v>78</v>
      </c>
      <c r="BZ78" s="37" t="e">
        <f>NA()</f>
        <v>#N/A</v>
      </c>
      <c r="CA78" s="37">
        <f t="shared" ca="1" si="60"/>
        <v>0.30296714922930773</v>
      </c>
      <c r="CB78" s="37">
        <f t="shared" si="96"/>
        <v>0.57390788628479417</v>
      </c>
      <c r="CC78" s="37">
        <f t="shared" si="61"/>
        <v>0.79306318287030897</v>
      </c>
      <c r="CD78" s="37">
        <f t="shared" si="62"/>
        <v>0.60663415107616903</v>
      </c>
      <c r="CE78" s="37">
        <f t="shared" si="63"/>
        <v>0.30224618431117334</v>
      </c>
      <c r="CF78" s="37">
        <f t="shared" si="64"/>
        <v>0.1802869707226418</v>
      </c>
      <c r="CG78" s="37">
        <f t="shared" si="65"/>
        <v>7.3119217647592022E-2</v>
      </c>
      <c r="CH78" s="37">
        <f t="shared" si="66"/>
        <v>0.83602666469558085</v>
      </c>
      <c r="CI78" s="37">
        <f t="shared" si="67"/>
        <v>9.085411765682716E-2</v>
      </c>
      <c r="CJ78" s="37">
        <f t="shared" si="68"/>
        <v>0.83602666469558085</v>
      </c>
      <c r="CK78" s="37">
        <f t="shared" si="69"/>
        <v>0.51237004725415081</v>
      </c>
      <c r="CL78" s="37">
        <f t="shared" si="70"/>
        <v>1.0854865630887844</v>
      </c>
      <c r="CM78" s="37">
        <f t="shared" si="71"/>
        <v>0</v>
      </c>
      <c r="CN78" s="37">
        <f t="shared" si="72"/>
        <v>0.67933915725755589</v>
      </c>
      <c r="CO78" s="37">
        <f t="shared" ca="1" si="97"/>
        <v>1</v>
      </c>
      <c r="CP78" s="37">
        <f t="shared" ca="1" si="98"/>
        <v>1</v>
      </c>
      <c r="CQ78" s="37">
        <f t="shared" ca="1" si="99"/>
        <v>1</v>
      </c>
      <c r="CR78" s="37">
        <f t="shared" ca="1" si="73"/>
        <v>0</v>
      </c>
      <c r="CS78" s="37">
        <f t="shared" ca="1" si="74"/>
        <v>9.7789310088953668E-2</v>
      </c>
      <c r="CT78" s="37">
        <f t="shared" ca="1" si="75"/>
        <v>7.6561190244781335E-2</v>
      </c>
      <c r="CU78" s="37">
        <f t="shared" ca="1" si="76"/>
        <v>29.70118928299943</v>
      </c>
      <c r="CV78" s="37">
        <f t="shared" ca="1" si="77"/>
        <v>0.60959999999977299</v>
      </c>
      <c r="CW78" s="37">
        <f t="shared" ca="1" si="78"/>
        <v>0</v>
      </c>
      <c r="CX78" s="37">
        <f t="shared" ca="1" si="79"/>
        <v>9.7789310088953668E-2</v>
      </c>
      <c r="CY78" s="37">
        <f t="shared" ca="1" si="80"/>
        <v>7.6561190244781335E-2</v>
      </c>
      <c r="CZ78" s="37">
        <f t="shared" ca="1" si="81"/>
        <v>29.70118928299943</v>
      </c>
      <c r="DA78" s="37">
        <f t="shared" ca="1" si="82"/>
        <v>0.60959999999977299</v>
      </c>
      <c r="DB78" s="37">
        <f t="shared" ca="1" si="83"/>
        <v>0</v>
      </c>
      <c r="DC78" s="37">
        <f t="shared" ca="1" si="84"/>
        <v>9.7789310088953668E-2</v>
      </c>
      <c r="DD78" s="37">
        <f t="shared" ca="1" si="85"/>
        <v>7.6561190244781335E-2</v>
      </c>
      <c r="DE78" s="37">
        <f t="shared" ca="1" si="86"/>
        <v>29.70118928299943</v>
      </c>
      <c r="DF78" s="37">
        <f t="shared" ca="1" si="87"/>
        <v>0.60959999999977299</v>
      </c>
      <c r="DG78" s="37" t="s">
        <v>333</v>
      </c>
      <c r="DH78" s="94">
        <v>240</v>
      </c>
      <c r="DI78" s="134">
        <v>2058</v>
      </c>
      <c r="DJ78" s="37">
        <f t="shared" ca="1" si="88"/>
        <v>0.21708016781039011</v>
      </c>
      <c r="DK78" s="37">
        <f t="shared" ca="1" si="89"/>
        <v>0.16041553492288399</v>
      </c>
      <c r="DL78" s="37">
        <f t="shared" ca="1" si="90"/>
        <v>48.722423364518519</v>
      </c>
      <c r="DM78" s="37">
        <f t="shared" ca="1" si="91"/>
        <v>0.16041553492288399</v>
      </c>
      <c r="DN78" s="37">
        <f t="shared" si="92"/>
        <v>0.155</v>
      </c>
      <c r="DO78" s="37">
        <f t="shared" si="92"/>
        <v>0.1265</v>
      </c>
      <c r="DP78" s="37">
        <f t="shared" si="93"/>
        <v>45.3</v>
      </c>
      <c r="DQ78" s="37">
        <f t="shared" ca="1" si="94"/>
        <v>0.16041553492288399</v>
      </c>
      <c r="DR78" s="37" t="s">
        <v>333</v>
      </c>
      <c r="DS78" s="114"/>
    </row>
    <row r="79" spans="1:123" ht="13.5" thickBot="1">
      <c r="A79" s="179">
        <f>6752/$L$9</f>
        <v>2058.0096000000021</v>
      </c>
      <c r="B79" s="135">
        <f>6758/$L$9</f>
        <v>2059.8384000000024</v>
      </c>
      <c r="C79" s="135">
        <v>37.466666666666697</v>
      </c>
      <c r="D79" s="136">
        <v>0.1295</v>
      </c>
      <c r="E79" s="136">
        <v>8.0166666666666705E-2</v>
      </c>
      <c r="F79" s="137">
        <f>66.4*$L$9</f>
        <v>217.84776902887117</v>
      </c>
      <c r="G79" s="137">
        <v>36.8333333333333</v>
      </c>
      <c r="H79" s="137">
        <v>-40</v>
      </c>
      <c r="I79" s="138">
        <v>2.5496925377715201</v>
      </c>
      <c r="J79" s="137">
        <v>32</v>
      </c>
      <c r="K79" s="137">
        <v>100</v>
      </c>
      <c r="L79" s="135">
        <v>1010</v>
      </c>
      <c r="M79" s="126">
        <f t="shared" si="8"/>
        <v>1.8288000000002285</v>
      </c>
      <c r="N79" s="45">
        <f t="shared" si="9"/>
        <v>0</v>
      </c>
      <c r="O79" s="127">
        <f t="shared" ca="1" si="10"/>
        <v>0.12065525204004117</v>
      </c>
      <c r="P79" s="45">
        <f t="shared" ca="1" si="11"/>
        <v>0.32411360788700422</v>
      </c>
      <c r="Q79" s="128">
        <f t="shared" ca="1" si="12"/>
        <v>4.9903078756751666</v>
      </c>
      <c r="R79" s="127">
        <f t="shared" ca="1" si="13"/>
        <v>0.64166433571862891</v>
      </c>
      <c r="S79" s="127">
        <f t="shared" ca="1" si="14"/>
        <v>3.9106009049213568E-2</v>
      </c>
      <c r="T79" s="45" t="str">
        <f t="shared" ca="1" si="95"/>
        <v xml:space="preserve">  WET</v>
      </c>
      <c r="U79" s="129">
        <f t="shared" ca="1" si="15"/>
        <v>-7.1054273576010019E-15</v>
      </c>
      <c r="V79" s="129">
        <f t="shared" ca="1" si="16"/>
        <v>2725.9726671718404</v>
      </c>
      <c r="W79" s="45">
        <f t="shared" ca="1" si="17"/>
        <v>0</v>
      </c>
      <c r="X79" s="45">
        <f t="shared" si="18"/>
        <v>0.71111956243834729</v>
      </c>
      <c r="Y79" s="45">
        <f t="shared" ca="1" si="19"/>
        <v>0.28888043756165271</v>
      </c>
      <c r="Z79" s="128">
        <f t="shared" si="20"/>
        <v>-1048.0096000000021</v>
      </c>
      <c r="AA79" s="130">
        <f t="shared" si="21"/>
        <v>6.7413342236175663E-2</v>
      </c>
      <c r="AB79" s="131" t="e">
        <f>NA()</f>
        <v>#N/A</v>
      </c>
      <c r="AC79" s="131" t="e">
        <f>NA()</f>
        <v>#N/A</v>
      </c>
      <c r="AD79" s="131" t="e">
        <f>NA()</f>
        <v>#N/A</v>
      </c>
      <c r="AE79" s="131" t="e">
        <f>NA()</f>
        <v>#N/A</v>
      </c>
      <c r="AF79" s="131" t="e">
        <f>NA()</f>
        <v>#N/A</v>
      </c>
      <c r="AG79" s="131" t="e">
        <f>NA()</f>
        <v>#N/A</v>
      </c>
      <c r="AH79" s="131" t="e">
        <f>NA()</f>
        <v>#N/A</v>
      </c>
      <c r="AI79" s="132">
        <f t="shared" si="22"/>
        <v>50.731840737701717</v>
      </c>
      <c r="AJ79" s="37">
        <f t="shared" si="23"/>
        <v>7.1078431372548531E-2</v>
      </c>
      <c r="AK79" s="37">
        <f t="shared" si="24"/>
        <v>1</v>
      </c>
      <c r="AL79" s="37">
        <f t="shared" si="25"/>
        <v>0.2</v>
      </c>
      <c r="AM79" s="37">
        <f t="shared" si="26"/>
        <v>-2.4079235916426966E-2</v>
      </c>
      <c r="AN79" s="37">
        <f t="shared" si="27"/>
        <v>0</v>
      </c>
      <c r="AO79" s="132">
        <f t="shared" si="28"/>
        <v>2517.7249999999999</v>
      </c>
      <c r="AP79" s="133">
        <f t="shared" si="29"/>
        <v>0.12794472535049423</v>
      </c>
      <c r="AQ79" s="133">
        <f t="shared" si="30"/>
        <v>0.1245</v>
      </c>
      <c r="AR79" s="133">
        <f t="shared" si="31"/>
        <v>0.13958408513589055</v>
      </c>
      <c r="AS79" s="133">
        <f t="shared" si="32"/>
        <v>0.12794472535049423</v>
      </c>
      <c r="AT79" s="133">
        <f t="shared" si="33"/>
        <v>0.1245</v>
      </c>
      <c r="AU79" s="133">
        <f t="shared" si="34"/>
        <v>0.12623411334701368</v>
      </c>
      <c r="AV79" s="133">
        <f t="shared" si="35"/>
        <v>0.12496709357703104</v>
      </c>
      <c r="AW79" s="133">
        <f t="shared" si="36"/>
        <v>0.12496709357703104</v>
      </c>
      <c r="AX79" s="133">
        <f t="shared" si="37"/>
        <v>0.1101666666666667</v>
      </c>
      <c r="AY79" s="133">
        <f t="shared" si="38"/>
        <v>9.9500000000000005E-2</v>
      </c>
      <c r="AZ79" s="133">
        <f t="shared" si="39"/>
        <v>0.10364890169600056</v>
      </c>
      <c r="BA79" s="132">
        <f t="shared" si="40"/>
        <v>2693.2260169834258</v>
      </c>
      <c r="BB79" s="133">
        <f t="shared" si="41"/>
        <v>0.12065525204004117</v>
      </c>
      <c r="BC79" s="132">
        <f t="shared" ca="1" si="42"/>
        <v>2736.6641312684956</v>
      </c>
      <c r="BD79" s="133">
        <f t="shared" ca="1" si="43"/>
        <v>0.12606878171001204</v>
      </c>
      <c r="BE79" s="133">
        <f t="shared" si="44"/>
        <v>0.3</v>
      </c>
      <c r="BF79" s="133">
        <f t="shared" ca="1" si="45"/>
        <v>0.12065525204004117</v>
      </c>
      <c r="BG79" s="37">
        <f t="shared" ca="1" si="46"/>
        <v>0.32411360788700422</v>
      </c>
      <c r="BH79" s="37">
        <f t="shared" ca="1" si="47"/>
        <v>3.9358595012968207</v>
      </c>
      <c r="BI79" s="37">
        <f t="shared" ca="1" si="48"/>
        <v>0</v>
      </c>
      <c r="BJ79" s="37">
        <f t="shared" ca="1" si="49"/>
        <v>0.32411360788700422</v>
      </c>
      <c r="BK79" s="37">
        <f t="shared" si="50"/>
        <v>1</v>
      </c>
      <c r="BL79" s="37">
        <f t="shared" si="51"/>
        <v>3.6498916751437984</v>
      </c>
      <c r="BM79" s="37">
        <f t="shared" si="52"/>
        <v>0.31211702547731346</v>
      </c>
      <c r="BN79" s="37">
        <f t="shared" ca="1" si="53"/>
        <v>0.3230034045796582</v>
      </c>
      <c r="BO79" s="37">
        <f t="shared" ca="1" si="54"/>
        <v>0.24864230518572097</v>
      </c>
      <c r="BP79" s="37">
        <f t="shared" ca="1" si="55"/>
        <v>0.24864230518572097</v>
      </c>
      <c r="BQ79" s="37" t="e">
        <f>NA()</f>
        <v>#N/A</v>
      </c>
      <c r="BR79" s="37" t="e">
        <f>NA()</f>
        <v>#N/A</v>
      </c>
      <c r="BS79" s="37" t="e">
        <f>NA()</f>
        <v>#N/A</v>
      </c>
      <c r="BT79" s="37">
        <f t="shared" ca="1" si="56"/>
        <v>4.9903078756751666</v>
      </c>
      <c r="BU79" s="37">
        <f t="shared" ca="1" si="57"/>
        <v>7.7428308054116171</v>
      </c>
      <c r="BV79" s="37">
        <f t="shared" ca="1" si="58"/>
        <v>10.618391001394667</v>
      </c>
      <c r="BW79" s="37">
        <f t="shared" ca="1" si="59"/>
        <v>4.5124826476990325</v>
      </c>
      <c r="BX79" s="37" t="e">
        <f>NA()</f>
        <v>#N/A</v>
      </c>
      <c r="BY79" s="37">
        <f t="shared" si="7"/>
        <v>79</v>
      </c>
      <c r="BZ79" s="37" t="e">
        <f>NA()</f>
        <v>#N/A</v>
      </c>
      <c r="CA79" s="37">
        <f t="shared" ca="1" si="60"/>
        <v>0.34533030532654718</v>
      </c>
      <c r="CB79" s="37">
        <f t="shared" si="96"/>
        <v>0.55995090471418552</v>
      </c>
      <c r="CC79" s="37">
        <f t="shared" si="61"/>
        <v>0.79560545355678169</v>
      </c>
      <c r="CD79" s="37">
        <f t="shared" si="62"/>
        <v>0.59180541727046598</v>
      </c>
      <c r="CE79" s="37">
        <f t="shared" si="63"/>
        <v>0.22515354349435174</v>
      </c>
      <c r="CF79" s="37">
        <f t="shared" si="64"/>
        <v>0.34333910057366901</v>
      </c>
      <c r="CG79" s="37">
        <f t="shared" si="65"/>
        <v>-7.0856766099198484E-2</v>
      </c>
      <c r="CH79" s="37">
        <f t="shared" si="66"/>
        <v>0.64085203978251237</v>
      </c>
      <c r="CI79" s="37">
        <f t="shared" si="67"/>
        <v>0.40155204685595908</v>
      </c>
      <c r="CJ79" s="37">
        <f t="shared" si="68"/>
        <v>0.59844795314404098</v>
      </c>
      <c r="CK79" s="37">
        <f t="shared" si="69"/>
        <v>0.38299180894959312</v>
      </c>
      <c r="CL79" s="37">
        <f t="shared" si="70"/>
        <v>0.94278785332973758</v>
      </c>
      <c r="CM79" s="37">
        <f t="shared" si="71"/>
        <v>0</v>
      </c>
      <c r="CN79" s="37">
        <f t="shared" si="72"/>
        <v>0.71111956243834729</v>
      </c>
      <c r="CO79" s="37">
        <f t="shared" ca="1" si="97"/>
        <v>1</v>
      </c>
      <c r="CP79" s="37">
        <f t="shared" ca="1" si="98"/>
        <v>1</v>
      </c>
      <c r="CQ79" s="37">
        <f t="shared" ca="1" si="99"/>
        <v>0</v>
      </c>
      <c r="CR79" s="37">
        <f t="shared" ca="1" si="73"/>
        <v>0</v>
      </c>
      <c r="CS79" s="37">
        <f t="shared" ca="1" si="74"/>
        <v>0.22065432493085485</v>
      </c>
      <c r="CT79" s="37">
        <f t="shared" ca="1" si="75"/>
        <v>0.14913725558164415</v>
      </c>
      <c r="CU79" s="37">
        <f t="shared" ca="1" si="76"/>
        <v>9.1262750430358857</v>
      </c>
      <c r="CV79" s="37">
        <f t="shared" ca="1" si="77"/>
        <v>1.8288000000002285</v>
      </c>
      <c r="CW79" s="37">
        <f t="shared" ca="1" si="78"/>
        <v>0</v>
      </c>
      <c r="CX79" s="37">
        <f t="shared" ca="1" si="79"/>
        <v>0.22065432493085485</v>
      </c>
      <c r="CY79" s="37">
        <f t="shared" ca="1" si="80"/>
        <v>0.14913725558164415</v>
      </c>
      <c r="CZ79" s="37">
        <f t="shared" ca="1" si="81"/>
        <v>9.1262750430358857</v>
      </c>
      <c r="DA79" s="37">
        <f t="shared" ca="1" si="82"/>
        <v>1.8288000000002285</v>
      </c>
      <c r="DB79" s="37">
        <f t="shared" ca="1" si="83"/>
        <v>0</v>
      </c>
      <c r="DC79" s="37">
        <f t="shared" ca="1" si="84"/>
        <v>0</v>
      </c>
      <c r="DD79" s="37">
        <f t="shared" ca="1" si="85"/>
        <v>0</v>
      </c>
      <c r="DE79" s="37">
        <f t="shared" ca="1" si="86"/>
        <v>0</v>
      </c>
      <c r="DF79" s="37">
        <f t="shared" ca="1" si="87"/>
        <v>0</v>
      </c>
      <c r="DG79" s="37" t="s">
        <v>333</v>
      </c>
      <c r="DH79" s="94">
        <v>217.83333332999999</v>
      </c>
      <c r="DI79" s="134">
        <v>2059.8000000000002</v>
      </c>
      <c r="DJ79" s="37">
        <f t="shared" ca="1" si="88"/>
        <v>0.32411360788700422</v>
      </c>
      <c r="DK79" s="37">
        <f t="shared" ca="1" si="89"/>
        <v>0.12065525204004117</v>
      </c>
      <c r="DL79" s="37">
        <f t="shared" ca="1" si="90"/>
        <v>4.9903078756751666</v>
      </c>
      <c r="DM79" s="37">
        <f t="shared" ca="1" si="91"/>
        <v>0.12065525204004117</v>
      </c>
      <c r="DN79" s="37">
        <f t="shared" si="92"/>
        <v>0.1295</v>
      </c>
      <c r="DO79" s="37">
        <f t="shared" si="92"/>
        <v>8.0166666666666705E-2</v>
      </c>
      <c r="DP79" s="37">
        <f t="shared" si="93"/>
        <v>37.466666666666697</v>
      </c>
      <c r="DQ79" s="37">
        <f t="shared" ca="1" si="94"/>
        <v>0.12065525204004117</v>
      </c>
      <c r="DR79" s="37" t="s">
        <v>333</v>
      </c>
      <c r="DS79" s="114"/>
    </row>
    <row r="80" spans="1:123" ht="13.5" thickBot="1">
      <c r="A80" s="139"/>
      <c r="B80" s="140"/>
      <c r="C80" s="140"/>
      <c r="D80" s="140"/>
      <c r="E80" s="140"/>
      <c r="F80" s="140"/>
      <c r="G80" s="140"/>
      <c r="H80" s="140"/>
      <c r="I80" s="140"/>
      <c r="J80" s="140"/>
      <c r="K80" s="140" t="s">
        <v>494</v>
      </c>
      <c r="L80" s="140"/>
      <c r="M80" s="139"/>
      <c r="N80" s="140"/>
      <c r="O80" s="141" t="s">
        <v>461</v>
      </c>
      <c r="P80" s="140"/>
      <c r="Q80" s="140"/>
      <c r="R80" s="140"/>
      <c r="S80" s="140"/>
      <c r="T80" s="140"/>
      <c r="U80" s="140"/>
      <c r="V80" s="140"/>
      <c r="W80" s="140"/>
      <c r="X80" s="140"/>
      <c r="Y80" s="140"/>
      <c r="Z80" s="140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>
        <f t="shared" si="7"/>
        <v>80</v>
      </c>
      <c r="BZ80" s="33"/>
      <c r="CA80" s="33"/>
      <c r="CB80" s="33"/>
      <c r="CC80" s="33"/>
      <c r="CD80" s="33"/>
      <c r="CE80" s="33"/>
      <c r="CF80" s="33"/>
      <c r="CG80" s="33"/>
      <c r="CH80" s="33"/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CX80" s="33"/>
      <c r="CY80" s="33"/>
      <c r="CZ80" s="33"/>
      <c r="DA80" s="33"/>
      <c r="DB80" s="33"/>
      <c r="DC80" s="33"/>
      <c r="DD80" s="33"/>
      <c r="DE80" s="33"/>
      <c r="DF80" s="33"/>
      <c r="DG80" s="33" t="s">
        <v>333</v>
      </c>
      <c r="DH80" s="33"/>
      <c r="DI80" s="33"/>
      <c r="DJ80" s="109"/>
      <c r="DK80" s="109"/>
      <c r="DL80" s="109"/>
      <c r="DM80" s="109"/>
      <c r="DN80" s="109"/>
      <c r="DO80" s="109"/>
      <c r="DP80" s="109"/>
      <c r="DQ80" s="109"/>
      <c r="DR80" s="109"/>
      <c r="DS80" s="108"/>
    </row>
    <row r="81" spans="1:123">
      <c r="A81" s="142"/>
      <c r="B81" s="143"/>
      <c r="C81" s="142" t="s">
        <v>462</v>
      </c>
      <c r="D81" s="143"/>
      <c r="E81" s="143"/>
      <c r="F81" s="143"/>
      <c r="G81" s="143"/>
      <c r="H81" s="143"/>
      <c r="I81" s="143"/>
      <c r="J81" s="143"/>
      <c r="K81" s="143"/>
      <c r="L81" s="143"/>
      <c r="M81" s="32"/>
      <c r="N81" s="107" t="s">
        <v>463</v>
      </c>
      <c r="O81" s="111"/>
      <c r="P81" s="111"/>
      <c r="Q81" s="111"/>
      <c r="R81" s="111" t="s">
        <v>464</v>
      </c>
      <c r="S81" s="111"/>
      <c r="T81" s="111"/>
      <c r="U81" s="111"/>
      <c r="V81" s="111"/>
      <c r="W81" s="111" t="s">
        <v>465</v>
      </c>
      <c r="X81" s="111"/>
      <c r="Y81" s="111"/>
      <c r="Z81" s="111"/>
      <c r="AA81" s="36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>
        <f t="shared" si="7"/>
        <v>81</v>
      </c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 t="s">
        <v>333</v>
      </c>
      <c r="DH81" s="37"/>
      <c r="DI81" s="37"/>
      <c r="DJ81" s="108"/>
      <c r="DK81" s="108"/>
      <c r="DL81" s="108"/>
      <c r="DM81" s="108"/>
      <c r="DN81" s="108"/>
      <c r="DO81" s="108"/>
      <c r="DP81" s="108"/>
      <c r="DQ81" s="108"/>
      <c r="DR81" s="108"/>
      <c r="DS81" s="108"/>
    </row>
    <row r="82" spans="1:123">
      <c r="A82" s="142"/>
      <c r="B82" s="143"/>
      <c r="C82" s="143"/>
      <c r="D82" s="143"/>
      <c r="E82" s="143"/>
      <c r="F82" s="143"/>
      <c r="G82" s="143"/>
      <c r="H82" s="143"/>
      <c r="I82" s="143"/>
      <c r="J82" s="143"/>
      <c r="K82" s="143"/>
      <c r="L82" s="143"/>
      <c r="M82" s="36"/>
      <c r="N82" s="119" t="s">
        <v>349</v>
      </c>
      <c r="O82" s="117" t="s">
        <v>466</v>
      </c>
      <c r="P82" s="116" t="str">
        <f>IF($I$51,"  GasSat","  OilSat")</f>
        <v xml:space="preserve">  OilSat</v>
      </c>
      <c r="Q82" s="117" t="s">
        <v>351</v>
      </c>
      <c r="R82" s="117" t="s">
        <v>467</v>
      </c>
      <c r="S82" s="116" t="str">
        <f>IF($I$51,"  Gas Vol","  Oil Vol")</f>
        <v xml:space="preserve">  Oil Vol</v>
      </c>
      <c r="T82" s="117" t="s">
        <v>468</v>
      </c>
      <c r="U82" s="117" t="s">
        <v>469</v>
      </c>
      <c r="V82" s="116"/>
      <c r="W82" s="117" t="s">
        <v>349</v>
      </c>
      <c r="X82" s="117" t="s">
        <v>350</v>
      </c>
      <c r="Y82" s="117" t="s">
        <v>470</v>
      </c>
      <c r="Z82" s="117" t="s">
        <v>351</v>
      </c>
      <c r="AA82" s="36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>
        <f t="shared" si="7"/>
        <v>82</v>
      </c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 t="s">
        <v>333</v>
      </c>
      <c r="DH82" s="37"/>
      <c r="DI82" s="37"/>
      <c r="DJ82" s="108"/>
      <c r="DK82" s="108"/>
      <c r="DL82" s="108"/>
      <c r="DM82" s="108"/>
      <c r="DN82" s="108"/>
      <c r="DO82" s="108"/>
      <c r="DP82" s="108"/>
      <c r="DQ82" s="108"/>
      <c r="DR82" s="108"/>
      <c r="DS82" s="108"/>
    </row>
    <row r="83" spans="1:123">
      <c r="A83" s="142"/>
      <c r="B83" s="143"/>
      <c r="C83" s="143"/>
      <c r="D83" s="143"/>
      <c r="E83" s="143"/>
      <c r="F83" s="143"/>
      <c r="G83" s="143"/>
      <c r="H83" s="143"/>
      <c r="I83" s="143"/>
      <c r="J83" s="143"/>
      <c r="K83" s="143"/>
      <c r="L83" s="143"/>
      <c r="M83" s="36"/>
      <c r="N83" s="119" t="s">
        <v>422</v>
      </c>
      <c r="O83" s="117" t="s">
        <v>422</v>
      </c>
      <c r="P83" s="117" t="s">
        <v>422</v>
      </c>
      <c r="Q83" s="117" t="s">
        <v>423</v>
      </c>
      <c r="R83" s="116" t="str">
        <f>"     "&amp;$L$24</f>
        <v xml:space="preserve">     meters</v>
      </c>
      <c r="S83" s="116" t="str">
        <f>"  "&amp;$L$24</f>
        <v xml:space="preserve">  meters</v>
      </c>
      <c r="T83" s="116" t="str">
        <f>"      "&amp;$L$32</f>
        <v xml:space="preserve">      md-m</v>
      </c>
      <c r="U83" s="116" t="str">
        <f>"   "&amp;$L$24</f>
        <v xml:space="preserve">   meters</v>
      </c>
      <c r="V83" s="116"/>
      <c r="W83" s="117" t="s">
        <v>422</v>
      </c>
      <c r="X83" s="117" t="s">
        <v>422</v>
      </c>
      <c r="Y83" s="117" t="s">
        <v>422</v>
      </c>
      <c r="Z83" s="117" t="s">
        <v>423</v>
      </c>
      <c r="AA83" s="36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>
        <f t="shared" si="7"/>
        <v>83</v>
      </c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 t="s">
        <v>333</v>
      </c>
      <c r="DH83" s="37"/>
      <c r="DI83" s="37"/>
      <c r="DJ83" s="108"/>
      <c r="DK83" s="108"/>
      <c r="DL83" s="108"/>
      <c r="DM83" s="108"/>
      <c r="DN83" s="108"/>
      <c r="DO83" s="108"/>
      <c r="DP83" s="108"/>
      <c r="DQ83" s="108"/>
      <c r="DR83" s="108"/>
      <c r="DS83" s="108"/>
    </row>
    <row r="84" spans="1:123">
      <c r="A84" s="142"/>
      <c r="B84" s="143"/>
      <c r="C84" s="143"/>
      <c r="D84" s="143"/>
      <c r="E84" s="143"/>
      <c r="F84" s="143"/>
      <c r="G84" s="143"/>
      <c r="H84" s="143"/>
      <c r="I84" s="143"/>
      <c r="J84" s="143"/>
      <c r="K84" s="143"/>
      <c r="L84" s="143"/>
      <c r="M84" s="36"/>
      <c r="N84" s="144">
        <f ca="1">IF(U84&gt;0,SUM(CR73:CR80)/U84,0)</f>
        <v>0.21973958333332155</v>
      </c>
      <c r="O84" s="145">
        <f ca="1">IF(U84&gt;0,R84/U84,0)</f>
        <v>0.11099981139806131</v>
      </c>
      <c r="P84" s="39">
        <f ca="1">IF(R84&gt;0,S84/R84,1)</f>
        <v>0.79233519436148547</v>
      </c>
      <c r="Q84" s="146">
        <f ca="1">IF(U84&gt;0,T84/U84,0)</f>
        <v>21.704049746173087</v>
      </c>
      <c r="R84" s="39">
        <f ca="1">SUM(CS73:CS80)</f>
        <v>1.0826477604521314</v>
      </c>
      <c r="S84" s="39">
        <f ca="1">SUM(CT73:CT80)</f>
        <v>0.85781992370286653</v>
      </c>
      <c r="T84" s="146">
        <f ca="1">SUM(CU73:CU80)</f>
        <v>211.69261960427394</v>
      </c>
      <c r="U84" s="146">
        <f ca="1">SUM(CV73:CV80)</f>
        <v>9.7536000000000058</v>
      </c>
      <c r="V84" s="39"/>
      <c r="W84" s="39">
        <f>$O$6</f>
        <v>1</v>
      </c>
      <c r="X84" s="39">
        <f>$P$6</f>
        <v>0</v>
      </c>
      <c r="Y84" s="39">
        <f>$Q$6</f>
        <v>1</v>
      </c>
      <c r="Z84" s="39">
        <f>$R$6</f>
        <v>0</v>
      </c>
      <c r="AA84" s="36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>
        <f t="shared" si="7"/>
        <v>84</v>
      </c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 t="s">
        <v>333</v>
      </c>
      <c r="DH84" s="37"/>
      <c r="DI84" s="37"/>
      <c r="DJ84" s="108"/>
      <c r="DK84" s="108"/>
      <c r="DL84" s="108"/>
      <c r="DM84" s="108"/>
      <c r="DN84" s="108"/>
      <c r="DO84" s="108"/>
      <c r="DP84" s="108"/>
      <c r="DQ84" s="108"/>
      <c r="DR84" s="108"/>
      <c r="DS84" s="108"/>
    </row>
    <row r="85" spans="1:123">
      <c r="A85" s="142"/>
      <c r="B85" s="143"/>
      <c r="C85" s="143"/>
      <c r="D85" s="143"/>
      <c r="E85" s="143"/>
      <c r="F85" s="143"/>
      <c r="G85" s="143"/>
      <c r="H85" s="143"/>
      <c r="I85" s="143"/>
      <c r="J85" s="143"/>
      <c r="K85" s="143"/>
      <c r="L85" s="143"/>
      <c r="M85" s="36"/>
      <c r="N85" s="147">
        <f ca="1">IF(U85&gt;0,SUM(CW73:CW80)/U85,0)</f>
        <v>4.6369899311084093E-3</v>
      </c>
      <c r="O85" s="127">
        <f ca="1">IF(U85&gt;0,R85/U85,0)</f>
        <v>0.13689462600998439</v>
      </c>
      <c r="P85" s="45">
        <f ca="1">IF(R85&gt;0,S85/R85,1)</f>
        <v>0.7483298928769001</v>
      </c>
      <c r="Q85" s="128">
        <f ca="1">IF(U85&gt;0,T85/U85,0)</f>
        <v>30.55349273385195</v>
      </c>
      <c r="R85" s="45">
        <f ca="1">SUM(CX72:CX81)</f>
        <v>0.77192141714512386</v>
      </c>
      <c r="S85" s="45">
        <f ca="1">SUM(CY73:CY80)</f>
        <v>0.57765187140159546</v>
      </c>
      <c r="T85" s="128">
        <f ca="1">SUM(CZ73:CZ80)</f>
        <v>172.2850348276497</v>
      </c>
      <c r="U85" s="128">
        <f ca="1">SUM(DA73:DA80)</f>
        <v>5.6388000000001739</v>
      </c>
      <c r="V85" s="45"/>
      <c r="W85" s="45">
        <f>$O$7</f>
        <v>0.4</v>
      </c>
      <c r="X85" s="45">
        <f>$P$7</f>
        <v>0.08</v>
      </c>
      <c r="Y85" s="45">
        <f>$Q$7</f>
        <v>0.6</v>
      </c>
      <c r="Z85" s="45">
        <f>$R$7</f>
        <v>1</v>
      </c>
      <c r="AA85" s="36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>
        <f t="shared" si="7"/>
        <v>85</v>
      </c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 t="s">
        <v>333</v>
      </c>
      <c r="DH85" s="37"/>
      <c r="DI85" s="37"/>
      <c r="DJ85" s="108"/>
      <c r="DK85" s="108"/>
      <c r="DL85" s="108"/>
      <c r="DM85" s="108"/>
      <c r="DN85" s="108"/>
      <c r="DO85" s="108"/>
      <c r="DP85" s="108"/>
      <c r="DQ85" s="108"/>
      <c r="DR85" s="108"/>
      <c r="DS85" s="108"/>
    </row>
    <row r="86" spans="1:123">
      <c r="A86" s="142"/>
      <c r="B86" s="143"/>
      <c r="C86" s="143"/>
      <c r="D86" s="143"/>
      <c r="E86" s="143"/>
      <c r="F86" s="143"/>
      <c r="G86" s="143"/>
      <c r="H86" s="143"/>
      <c r="I86" s="143"/>
      <c r="J86" s="143"/>
      <c r="K86" s="143"/>
      <c r="L86" s="143"/>
      <c r="M86" s="36"/>
      <c r="N86" s="147">
        <f ca="1">IF(U86&gt;0,SUM(DB73:DB80)/U86,0)</f>
        <v>6.8627450980407552E-3</v>
      </c>
      <c r="O86" s="127">
        <f ca="1">IF(U86&gt;0,R86/U86,0)</f>
        <v>0.14468952551555825</v>
      </c>
      <c r="P86" s="45">
        <f ca="1">IF(R86&gt;0,S86/R86,1)</f>
        <v>0.77732667498569685</v>
      </c>
      <c r="Q86" s="128">
        <f ca="1">IF(U86&gt;0,T86/U86,0)</f>
        <v>42.823821465778515</v>
      </c>
      <c r="R86" s="45">
        <f ca="1">SUM(DC73:DC81)</f>
        <v>0.55126709221426906</v>
      </c>
      <c r="S86" s="45">
        <f ca="1">SUM(DD73:DD80)</f>
        <v>0.42851461581995132</v>
      </c>
      <c r="T86" s="128">
        <f ca="1">SUM(DE73:DE80)</f>
        <v>163.15875978461381</v>
      </c>
      <c r="U86" s="128">
        <f ca="1">SUM(DF73:DF80)</f>
        <v>3.8099999999999454</v>
      </c>
      <c r="V86" s="45"/>
      <c r="W86" s="45">
        <f>$O$8</f>
        <v>0.25</v>
      </c>
      <c r="X86" s="45">
        <f>$P$8</f>
        <v>0.1</v>
      </c>
      <c r="Y86" s="45">
        <f>$Q$8</f>
        <v>0.3</v>
      </c>
      <c r="Z86" s="45">
        <f>$R$8</f>
        <v>2</v>
      </c>
      <c r="AA86" s="36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>
        <f t="shared" si="7"/>
        <v>86</v>
      </c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  <c r="DB86" s="37"/>
      <c r="DC86" s="37"/>
      <c r="DD86" s="37"/>
      <c r="DE86" s="37"/>
      <c r="DF86" s="37"/>
      <c r="DG86" s="37" t="s">
        <v>333</v>
      </c>
      <c r="DH86" s="37"/>
      <c r="DI86" s="37"/>
      <c r="DJ86" s="108"/>
      <c r="DK86" s="108"/>
      <c r="DL86" s="108"/>
      <c r="DM86" s="108"/>
      <c r="DN86" s="108"/>
      <c r="DO86" s="108"/>
      <c r="DP86" s="108"/>
      <c r="DQ86" s="108"/>
      <c r="DR86" s="108"/>
      <c r="DS86" s="108"/>
    </row>
    <row r="87" spans="1:123">
      <c r="A87" s="142"/>
      <c r="B87" s="143"/>
      <c r="C87" s="143"/>
      <c r="D87" s="143"/>
      <c r="E87" s="143"/>
      <c r="F87" s="143"/>
      <c r="G87" s="143"/>
      <c r="H87" s="143"/>
      <c r="I87" s="143"/>
      <c r="J87" s="143"/>
      <c r="K87" s="143"/>
      <c r="L87" s="143"/>
      <c r="M87" s="36"/>
      <c r="N87" s="147"/>
      <c r="O87" s="127"/>
      <c r="P87" s="45"/>
      <c r="Q87" s="128"/>
      <c r="R87" s="45"/>
      <c r="S87" s="45"/>
      <c r="T87" s="128"/>
      <c r="U87" s="128"/>
      <c r="V87" s="45"/>
      <c r="W87" s="45"/>
      <c r="X87" s="45"/>
      <c r="Y87" s="45"/>
      <c r="Z87" s="45"/>
      <c r="AA87" s="36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108"/>
      <c r="DK87" s="108"/>
      <c r="DL87" s="108"/>
      <c r="DM87" s="108"/>
      <c r="DN87" s="108"/>
      <c r="DO87" s="108"/>
      <c r="DP87" s="108"/>
      <c r="DQ87" s="108"/>
      <c r="DR87" s="108"/>
      <c r="DS87" s="108"/>
    </row>
    <row r="88" spans="1:123">
      <c r="A88" s="142"/>
      <c r="B88" s="143"/>
      <c r="C88" s="143"/>
      <c r="D88" s="143"/>
      <c r="E88" s="143"/>
      <c r="F88" s="143"/>
      <c r="G88" s="143"/>
      <c r="H88" s="143"/>
      <c r="I88" s="143"/>
      <c r="J88" s="143"/>
      <c r="K88" s="143"/>
      <c r="L88" s="143"/>
      <c r="M88" s="36"/>
      <c r="N88" s="139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36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  <c r="CV88" s="37"/>
      <c r="CW88" s="37"/>
      <c r="CX88" s="37"/>
      <c r="CY88" s="37"/>
      <c r="CZ88" s="37"/>
      <c r="DA88" s="37"/>
      <c r="DB88" s="37"/>
      <c r="DC88" s="37"/>
      <c r="DD88" s="37"/>
      <c r="DE88" s="37"/>
      <c r="DF88" s="37"/>
      <c r="DG88" s="37"/>
      <c r="DH88" s="37"/>
      <c r="DI88" s="37"/>
      <c r="DJ88" s="108"/>
      <c r="DK88" s="108"/>
      <c r="DL88" s="108"/>
      <c r="DM88" s="108"/>
      <c r="DN88" s="108"/>
      <c r="DO88" s="108"/>
      <c r="DP88" s="108"/>
      <c r="DQ88" s="108"/>
      <c r="DR88" s="108"/>
      <c r="DS88" s="108"/>
    </row>
    <row r="89" spans="1:123">
      <c r="A89" s="142"/>
      <c r="B89" s="143"/>
      <c r="C89" s="143"/>
      <c r="D89" s="143"/>
      <c r="E89" s="143"/>
      <c r="F89" s="143"/>
      <c r="G89" s="143"/>
      <c r="H89" s="143"/>
      <c r="I89" s="143"/>
      <c r="J89" s="143"/>
      <c r="K89" s="143"/>
      <c r="L89" s="143"/>
      <c r="M89" s="36"/>
      <c r="N89" s="142"/>
      <c r="O89" s="143"/>
      <c r="P89" s="143"/>
      <c r="Q89" s="143"/>
      <c r="R89" s="143"/>
      <c r="S89" s="143"/>
      <c r="T89" s="143"/>
      <c r="U89" s="143"/>
      <c r="V89" s="143"/>
      <c r="W89" s="143"/>
      <c r="X89" s="143"/>
      <c r="Y89" s="143"/>
      <c r="Z89" s="143"/>
      <c r="AA89" s="36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  <c r="CT89" s="37"/>
      <c r="CU89" s="37"/>
      <c r="CV89" s="37"/>
      <c r="CW89" s="37"/>
      <c r="CX89" s="37"/>
      <c r="CY89" s="37"/>
      <c r="CZ89" s="37"/>
      <c r="DA89" s="37"/>
      <c r="DB89" s="37"/>
      <c r="DC89" s="37"/>
      <c r="DD89" s="37"/>
      <c r="DE89" s="37"/>
      <c r="DF89" s="37"/>
      <c r="DG89" s="37"/>
      <c r="DH89" s="37"/>
      <c r="DI89" s="37"/>
      <c r="DJ89" s="108"/>
      <c r="DK89" s="108"/>
      <c r="DL89" s="108"/>
      <c r="DM89" s="108"/>
      <c r="DN89" s="108"/>
      <c r="DO89" s="108"/>
      <c r="DP89" s="108"/>
      <c r="DQ89" s="108"/>
      <c r="DR89" s="108"/>
      <c r="DS89" s="108"/>
    </row>
    <row r="90" spans="1:123">
      <c r="A90" s="142"/>
      <c r="B90" s="143"/>
      <c r="C90" s="143"/>
      <c r="D90" s="143"/>
      <c r="E90" s="143"/>
      <c r="F90" s="143"/>
      <c r="G90" s="143"/>
      <c r="H90" s="143"/>
      <c r="I90" s="143"/>
      <c r="J90" s="143"/>
      <c r="K90" s="143"/>
      <c r="L90" s="143"/>
      <c r="M90" s="36"/>
      <c r="N90" s="142"/>
      <c r="O90" s="143"/>
      <c r="P90" s="143"/>
      <c r="Q90" s="143"/>
      <c r="R90" s="143"/>
      <c r="S90" s="143"/>
      <c r="T90" s="143"/>
      <c r="U90" s="143"/>
      <c r="V90" s="143"/>
      <c r="W90" s="143"/>
      <c r="X90" s="143"/>
      <c r="Y90" s="143"/>
      <c r="Z90" s="143"/>
      <c r="AA90" s="36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37"/>
      <c r="CS90" s="37"/>
      <c r="CT90" s="37"/>
      <c r="CU90" s="37"/>
      <c r="CV90" s="37"/>
      <c r="CW90" s="37"/>
      <c r="CX90" s="37"/>
      <c r="CY90" s="37"/>
      <c r="CZ90" s="37"/>
      <c r="DA90" s="37"/>
      <c r="DB90" s="37"/>
      <c r="DC90" s="37"/>
      <c r="DD90" s="37"/>
      <c r="DE90" s="37"/>
      <c r="DF90" s="37"/>
      <c r="DG90" s="37"/>
      <c r="DH90" s="37"/>
      <c r="DI90" s="37"/>
      <c r="DJ90" s="108"/>
      <c r="DK90" s="108"/>
      <c r="DL90" s="108"/>
      <c r="DM90" s="108"/>
      <c r="DN90" s="108"/>
      <c r="DO90" s="108"/>
      <c r="DP90" s="108"/>
      <c r="DQ90" s="108"/>
      <c r="DR90" s="108"/>
      <c r="DS90" s="108"/>
    </row>
    <row r="91" spans="1:123">
      <c r="A91" s="142"/>
      <c r="B91" s="143"/>
      <c r="C91" s="143"/>
      <c r="D91" s="143"/>
      <c r="E91" s="143"/>
      <c r="F91" s="143"/>
      <c r="G91" s="143"/>
      <c r="H91" s="143"/>
      <c r="I91" s="143"/>
      <c r="J91" s="143"/>
      <c r="K91" s="143"/>
      <c r="L91" s="143"/>
      <c r="M91" s="36"/>
      <c r="N91" s="142"/>
      <c r="O91" s="143"/>
      <c r="P91" s="143"/>
      <c r="Q91" s="143"/>
      <c r="R91" s="143"/>
      <c r="S91" s="143"/>
      <c r="T91" s="143"/>
      <c r="U91" s="143"/>
      <c r="V91" s="143"/>
      <c r="W91" s="143"/>
      <c r="X91" s="143"/>
      <c r="Y91" s="143"/>
      <c r="Z91" s="143"/>
      <c r="AA91" s="36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7"/>
      <c r="CT91" s="37"/>
      <c r="CU91" s="37"/>
      <c r="CV91" s="37"/>
      <c r="CW91" s="37"/>
      <c r="CX91" s="37"/>
      <c r="CY91" s="37"/>
      <c r="CZ91" s="37"/>
      <c r="DA91" s="37"/>
      <c r="DB91" s="37"/>
      <c r="DC91" s="37"/>
      <c r="DD91" s="37"/>
      <c r="DE91" s="37"/>
      <c r="DF91" s="37"/>
      <c r="DG91" s="37"/>
      <c r="DH91" s="37"/>
      <c r="DI91" s="37"/>
      <c r="DJ91" s="108"/>
      <c r="DK91" s="108"/>
      <c r="DL91" s="108"/>
      <c r="DM91" s="108"/>
      <c r="DN91" s="108"/>
      <c r="DO91" s="108"/>
      <c r="DP91" s="108"/>
      <c r="DQ91" s="108"/>
      <c r="DR91" s="108"/>
      <c r="DS91" s="108"/>
    </row>
    <row r="92" spans="1:123">
      <c r="A92" s="142"/>
      <c r="B92" s="143"/>
      <c r="C92" s="143"/>
      <c r="D92" s="143"/>
      <c r="E92" s="143"/>
      <c r="F92" s="143"/>
      <c r="G92" s="143"/>
      <c r="H92" s="143"/>
      <c r="I92" s="143"/>
      <c r="J92" s="143"/>
      <c r="K92" s="143"/>
      <c r="L92" s="143"/>
      <c r="M92" s="36"/>
      <c r="N92" s="142"/>
      <c r="O92" s="143"/>
      <c r="P92" s="143"/>
      <c r="Q92" s="143"/>
      <c r="R92" s="143"/>
      <c r="S92" s="143"/>
      <c r="T92" s="143"/>
      <c r="U92" s="143"/>
      <c r="V92" s="143"/>
      <c r="W92" s="143"/>
      <c r="X92" s="143"/>
      <c r="Y92" s="143"/>
      <c r="Z92" s="143"/>
      <c r="AA92" s="36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7"/>
      <c r="CT92" s="37"/>
      <c r="CU92" s="37"/>
      <c r="CV92" s="37"/>
      <c r="CW92" s="37"/>
      <c r="CX92" s="37"/>
      <c r="CY92" s="37"/>
      <c r="CZ92" s="37"/>
      <c r="DA92" s="37"/>
      <c r="DB92" s="37"/>
      <c r="DC92" s="37"/>
      <c r="DD92" s="37"/>
      <c r="DE92" s="37"/>
      <c r="DF92" s="37"/>
      <c r="DG92" s="37"/>
      <c r="DH92" s="37"/>
      <c r="DI92" s="37"/>
      <c r="DJ92" s="108"/>
      <c r="DK92" s="108"/>
      <c r="DL92" s="108"/>
      <c r="DM92" s="108"/>
      <c r="DN92" s="108"/>
      <c r="DO92" s="108"/>
      <c r="DP92" s="108"/>
      <c r="DQ92" s="108"/>
      <c r="DR92" s="108"/>
      <c r="DS92" s="108"/>
    </row>
    <row r="93" spans="1:123">
      <c r="A93" s="142"/>
      <c r="B93" s="143"/>
      <c r="C93" s="143"/>
      <c r="D93" s="143"/>
      <c r="E93" s="143"/>
      <c r="F93" s="143"/>
      <c r="G93" s="143"/>
      <c r="H93" s="143"/>
      <c r="I93" s="143"/>
      <c r="J93" s="143"/>
      <c r="K93" s="143"/>
      <c r="L93" s="143"/>
      <c r="M93" s="36"/>
      <c r="N93" s="142"/>
      <c r="O93" s="143"/>
      <c r="P93" s="143"/>
      <c r="Q93" s="143"/>
      <c r="R93" s="143"/>
      <c r="S93" s="143"/>
      <c r="T93" s="143"/>
      <c r="U93" s="143"/>
      <c r="V93" s="143"/>
      <c r="W93" s="143"/>
      <c r="X93" s="143"/>
      <c r="Y93" s="143"/>
      <c r="Z93" s="143"/>
      <c r="AA93" s="36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  <c r="CT93" s="37"/>
      <c r="CU93" s="37"/>
      <c r="CV93" s="37"/>
      <c r="CW93" s="37"/>
      <c r="CX93" s="37"/>
      <c r="CY93" s="37"/>
      <c r="CZ93" s="37"/>
      <c r="DA93" s="37"/>
      <c r="DB93" s="37"/>
      <c r="DC93" s="37"/>
      <c r="DD93" s="37"/>
      <c r="DE93" s="37"/>
      <c r="DF93" s="37"/>
      <c r="DG93" s="37"/>
      <c r="DH93" s="37"/>
      <c r="DI93" s="37"/>
      <c r="DJ93" s="108"/>
      <c r="DK93" s="108"/>
      <c r="DL93" s="108"/>
      <c r="DM93" s="108"/>
      <c r="DN93" s="108"/>
      <c r="DO93" s="108"/>
      <c r="DP93" s="108"/>
      <c r="DQ93" s="108"/>
      <c r="DR93" s="108"/>
      <c r="DS93" s="108"/>
    </row>
    <row r="94" spans="1:123">
      <c r="A94" s="142"/>
      <c r="B94" s="143"/>
      <c r="C94" s="143"/>
      <c r="D94" s="143"/>
      <c r="E94" s="143"/>
      <c r="F94" s="143"/>
      <c r="G94" s="143"/>
      <c r="H94" s="143"/>
      <c r="I94" s="143"/>
      <c r="J94" s="143"/>
      <c r="K94" s="143"/>
      <c r="L94" s="143"/>
      <c r="M94" s="36"/>
      <c r="N94" s="142"/>
      <c r="O94" s="143"/>
      <c r="P94" s="143"/>
      <c r="Q94" s="143"/>
      <c r="R94" s="143"/>
      <c r="S94" s="143"/>
      <c r="T94" s="143"/>
      <c r="U94" s="143"/>
      <c r="V94" s="143"/>
      <c r="W94" s="143"/>
      <c r="X94" s="143"/>
      <c r="Y94" s="143"/>
      <c r="Z94" s="143"/>
      <c r="AA94" s="36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7"/>
      <c r="CT94" s="37"/>
      <c r="CU94" s="37"/>
      <c r="CV94" s="37"/>
      <c r="CW94" s="37"/>
      <c r="CX94" s="37"/>
      <c r="CY94" s="37"/>
      <c r="CZ94" s="37"/>
      <c r="DA94" s="37"/>
      <c r="DB94" s="37"/>
      <c r="DC94" s="37"/>
      <c r="DD94" s="37"/>
      <c r="DE94" s="37"/>
      <c r="DF94" s="37"/>
      <c r="DG94" s="37"/>
      <c r="DH94" s="37"/>
      <c r="DI94" s="37"/>
      <c r="DJ94" s="108"/>
      <c r="DK94" s="108"/>
      <c r="DL94" s="108"/>
      <c r="DM94" s="108"/>
      <c r="DN94" s="108"/>
      <c r="DO94" s="108"/>
      <c r="DP94" s="108"/>
      <c r="DQ94" s="108"/>
      <c r="DR94" s="108"/>
      <c r="DS94" s="108"/>
    </row>
    <row r="95" spans="1:123">
      <c r="A95" s="142"/>
      <c r="B95" s="143"/>
      <c r="C95" s="143"/>
      <c r="D95" s="143"/>
      <c r="E95" s="143"/>
      <c r="F95" s="143"/>
      <c r="G95" s="143"/>
      <c r="H95" s="143"/>
      <c r="I95" s="143"/>
      <c r="J95" s="143"/>
      <c r="K95" s="143"/>
      <c r="L95" s="143"/>
      <c r="M95" s="36"/>
      <c r="N95" s="142"/>
      <c r="O95" s="143"/>
      <c r="P95" s="143"/>
      <c r="Q95" s="143"/>
      <c r="R95" s="143"/>
      <c r="S95" s="143"/>
      <c r="T95" s="143"/>
      <c r="U95" s="143"/>
      <c r="V95" s="143"/>
      <c r="W95" s="143"/>
      <c r="X95" s="143"/>
      <c r="Y95" s="143"/>
      <c r="Z95" s="143"/>
      <c r="AA95" s="36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7"/>
      <c r="CR95" s="37"/>
      <c r="CS95" s="37"/>
      <c r="CT95" s="37"/>
      <c r="CU95" s="37"/>
      <c r="CV95" s="37"/>
      <c r="CW95" s="37"/>
      <c r="CX95" s="37"/>
      <c r="CY95" s="37"/>
      <c r="CZ95" s="37"/>
      <c r="DA95" s="37"/>
      <c r="DB95" s="37"/>
      <c r="DC95" s="37"/>
      <c r="DD95" s="37"/>
      <c r="DE95" s="37"/>
      <c r="DF95" s="37"/>
      <c r="DG95" s="37"/>
      <c r="DH95" s="37"/>
      <c r="DI95" s="37"/>
      <c r="DJ95" s="108"/>
      <c r="DK95" s="108"/>
      <c r="DL95" s="108"/>
      <c r="DM95" s="108"/>
      <c r="DN95" s="108"/>
      <c r="DO95" s="108"/>
      <c r="DP95" s="108"/>
      <c r="DQ95" s="108"/>
      <c r="DR95" s="108"/>
      <c r="DS95" s="108"/>
    </row>
    <row r="96" spans="1:123">
      <c r="A96" s="142"/>
      <c r="B96" s="143"/>
      <c r="C96" s="143"/>
      <c r="D96" s="143"/>
      <c r="E96" s="143"/>
      <c r="F96" s="143"/>
      <c r="G96" s="143"/>
      <c r="H96" s="143"/>
      <c r="I96" s="143"/>
      <c r="J96" s="143"/>
      <c r="K96" s="143"/>
      <c r="L96" s="143"/>
      <c r="M96" s="36"/>
      <c r="N96" s="142"/>
      <c r="O96" s="143"/>
      <c r="P96" s="143"/>
      <c r="Q96" s="143"/>
      <c r="R96" s="143"/>
      <c r="S96" s="143"/>
      <c r="T96" s="143"/>
      <c r="U96" s="143"/>
      <c r="V96" s="143"/>
      <c r="W96" s="143"/>
      <c r="X96" s="143"/>
      <c r="Y96" s="143"/>
      <c r="Z96" s="143"/>
      <c r="AA96" s="36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  <c r="CI96" s="37"/>
      <c r="CJ96" s="37"/>
      <c r="CK96" s="37"/>
      <c r="CL96" s="37"/>
      <c r="CM96" s="37"/>
      <c r="CN96" s="37"/>
      <c r="CO96" s="37"/>
      <c r="CP96" s="37"/>
      <c r="CQ96" s="37"/>
      <c r="CR96" s="37"/>
      <c r="CS96" s="37"/>
      <c r="CT96" s="37"/>
      <c r="CU96" s="37"/>
      <c r="CV96" s="37"/>
      <c r="CW96" s="37"/>
      <c r="CX96" s="37"/>
      <c r="CY96" s="37"/>
      <c r="CZ96" s="37"/>
      <c r="DA96" s="37"/>
      <c r="DB96" s="37"/>
      <c r="DC96" s="37"/>
      <c r="DD96" s="37"/>
      <c r="DE96" s="37"/>
      <c r="DF96" s="37"/>
      <c r="DG96" s="37"/>
      <c r="DH96" s="37"/>
      <c r="DI96" s="37"/>
      <c r="DJ96" s="108"/>
      <c r="DK96" s="108"/>
      <c r="DL96" s="108"/>
      <c r="DM96" s="108"/>
      <c r="DN96" s="108"/>
      <c r="DO96" s="108"/>
      <c r="DP96" s="108"/>
      <c r="DQ96" s="108"/>
      <c r="DR96" s="108"/>
      <c r="DS96" s="108"/>
    </row>
    <row r="97" spans="1:123">
      <c r="A97" s="142"/>
      <c r="B97" s="143"/>
      <c r="C97" s="143"/>
      <c r="D97" s="143"/>
      <c r="E97" s="143"/>
      <c r="F97" s="143"/>
      <c r="G97" s="143"/>
      <c r="H97" s="143"/>
      <c r="I97" s="143"/>
      <c r="J97" s="143"/>
      <c r="K97" s="143"/>
      <c r="L97" s="143"/>
      <c r="M97" s="36"/>
      <c r="N97" s="142"/>
      <c r="O97" s="143"/>
      <c r="P97" s="143"/>
      <c r="Q97" s="143"/>
      <c r="R97" s="143"/>
      <c r="S97" s="143"/>
      <c r="T97" s="143"/>
      <c r="U97" s="143"/>
      <c r="V97" s="143"/>
      <c r="W97" s="143"/>
      <c r="X97" s="143"/>
      <c r="Y97" s="143"/>
      <c r="Z97" s="143"/>
      <c r="AA97" s="36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7"/>
      <c r="CE97" s="37"/>
      <c r="CF97" s="37"/>
      <c r="CG97" s="37"/>
      <c r="CH97" s="37"/>
      <c r="CI97" s="37"/>
      <c r="CJ97" s="37"/>
      <c r="CK97" s="37"/>
      <c r="CL97" s="37"/>
      <c r="CM97" s="37"/>
      <c r="CN97" s="37"/>
      <c r="CO97" s="37"/>
      <c r="CP97" s="37"/>
      <c r="CQ97" s="37"/>
      <c r="CR97" s="37"/>
      <c r="CS97" s="37"/>
      <c r="CT97" s="37"/>
      <c r="CU97" s="37"/>
      <c r="CV97" s="37"/>
      <c r="CW97" s="37"/>
      <c r="CX97" s="37"/>
      <c r="CY97" s="37"/>
      <c r="CZ97" s="37"/>
      <c r="DA97" s="37"/>
      <c r="DB97" s="37"/>
      <c r="DC97" s="37"/>
      <c r="DD97" s="37"/>
      <c r="DE97" s="37"/>
      <c r="DF97" s="37"/>
      <c r="DG97" s="37"/>
      <c r="DH97" s="37"/>
      <c r="DI97" s="37"/>
      <c r="DJ97" s="108"/>
      <c r="DK97" s="108"/>
      <c r="DL97" s="108"/>
      <c r="DM97" s="108"/>
      <c r="DN97" s="108"/>
      <c r="DO97" s="108"/>
      <c r="DP97" s="108"/>
      <c r="DQ97" s="108"/>
      <c r="DR97" s="108"/>
      <c r="DS97" s="108"/>
    </row>
    <row r="98" spans="1:123">
      <c r="A98" s="142"/>
      <c r="B98" s="143"/>
      <c r="C98" s="143"/>
      <c r="D98" s="143"/>
      <c r="E98" s="143"/>
      <c r="F98" s="143"/>
      <c r="G98" s="143"/>
      <c r="H98" s="143"/>
      <c r="I98" s="143"/>
      <c r="J98" s="143"/>
      <c r="K98" s="143"/>
      <c r="L98" s="143"/>
      <c r="M98" s="36"/>
      <c r="N98" s="142"/>
      <c r="O98" s="143"/>
      <c r="P98" s="143"/>
      <c r="Q98" s="143"/>
      <c r="R98" s="143"/>
      <c r="S98" s="143"/>
      <c r="T98" s="143"/>
      <c r="U98" s="143"/>
      <c r="V98" s="143"/>
      <c r="W98" s="143"/>
      <c r="X98" s="143"/>
      <c r="Y98" s="143"/>
      <c r="Z98" s="143"/>
      <c r="AA98" s="36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7"/>
      <c r="CD98" s="37"/>
      <c r="CE98" s="37"/>
      <c r="CF98" s="37"/>
      <c r="CG98" s="37"/>
      <c r="CH98" s="37"/>
      <c r="CI98" s="37"/>
      <c r="CJ98" s="37"/>
      <c r="CK98" s="37"/>
      <c r="CL98" s="37"/>
      <c r="CM98" s="37"/>
      <c r="CN98" s="37"/>
      <c r="CO98" s="37"/>
      <c r="CP98" s="37"/>
      <c r="CQ98" s="37"/>
      <c r="CR98" s="37"/>
      <c r="CS98" s="37"/>
      <c r="CT98" s="37"/>
      <c r="CU98" s="37"/>
      <c r="CV98" s="37"/>
      <c r="CW98" s="37"/>
      <c r="CX98" s="37"/>
      <c r="CY98" s="37"/>
      <c r="CZ98" s="37"/>
      <c r="DA98" s="37"/>
      <c r="DB98" s="37"/>
      <c r="DC98" s="37"/>
      <c r="DD98" s="37"/>
      <c r="DE98" s="37"/>
      <c r="DF98" s="37"/>
      <c r="DG98" s="37"/>
      <c r="DH98" s="37"/>
      <c r="DI98" s="37"/>
      <c r="DJ98" s="108"/>
      <c r="DK98" s="108"/>
      <c r="DL98" s="108"/>
      <c r="DM98" s="108"/>
      <c r="DN98" s="108"/>
      <c r="DO98" s="108"/>
      <c r="DP98" s="108"/>
      <c r="DQ98" s="108"/>
      <c r="DR98" s="108"/>
      <c r="DS98" s="108"/>
    </row>
    <row r="99" spans="1:123">
      <c r="A99" s="142"/>
      <c r="B99" s="143"/>
      <c r="C99" s="143"/>
      <c r="D99" s="143"/>
      <c r="E99" s="143"/>
      <c r="F99" s="143"/>
      <c r="G99" s="143"/>
      <c r="H99" s="143"/>
      <c r="I99" s="143"/>
      <c r="J99" s="143"/>
      <c r="K99" s="143"/>
      <c r="L99" s="143"/>
      <c r="M99" s="36"/>
      <c r="N99" s="142"/>
      <c r="O99" s="143"/>
      <c r="P99" s="143"/>
      <c r="Q99" s="143"/>
      <c r="R99" s="143"/>
      <c r="S99" s="143"/>
      <c r="T99" s="143"/>
      <c r="U99" s="143"/>
      <c r="V99" s="143"/>
      <c r="W99" s="143"/>
      <c r="X99" s="143"/>
      <c r="Y99" s="143"/>
      <c r="Z99" s="143"/>
      <c r="AA99" s="36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7"/>
      <c r="CI99" s="37"/>
      <c r="CJ99" s="37"/>
      <c r="CK99" s="37"/>
      <c r="CL99" s="37"/>
      <c r="CM99" s="37"/>
      <c r="CN99" s="37"/>
      <c r="CO99" s="37"/>
      <c r="CP99" s="37"/>
      <c r="CQ99" s="37"/>
      <c r="CR99" s="37"/>
      <c r="CS99" s="37"/>
      <c r="CT99" s="37"/>
      <c r="CU99" s="37"/>
      <c r="CV99" s="37"/>
      <c r="CW99" s="37"/>
      <c r="CX99" s="37"/>
      <c r="CY99" s="37"/>
      <c r="CZ99" s="37"/>
      <c r="DA99" s="37"/>
      <c r="DB99" s="37"/>
      <c r="DC99" s="37"/>
      <c r="DD99" s="37"/>
      <c r="DE99" s="37"/>
      <c r="DF99" s="37"/>
      <c r="DG99" s="37"/>
      <c r="DH99" s="37"/>
      <c r="DI99" s="37"/>
      <c r="DJ99" s="108"/>
      <c r="DK99" s="108"/>
      <c r="DL99" s="108"/>
      <c r="DM99" s="108"/>
      <c r="DN99" s="108"/>
      <c r="DO99" s="108"/>
      <c r="DP99" s="108"/>
      <c r="DQ99" s="108"/>
      <c r="DR99" s="108"/>
      <c r="DS99" s="108"/>
    </row>
    <row r="100" spans="1:123">
      <c r="A100" s="142"/>
      <c r="B100" s="143"/>
      <c r="C100" s="143"/>
      <c r="D100" s="143"/>
      <c r="E100" s="143"/>
      <c r="F100" s="143"/>
      <c r="G100" s="143"/>
      <c r="H100" s="143"/>
      <c r="I100" s="143"/>
      <c r="J100" s="143"/>
      <c r="K100" s="143"/>
      <c r="L100" s="143"/>
      <c r="M100" s="36"/>
      <c r="N100" s="142"/>
      <c r="O100" s="143"/>
      <c r="P100" s="143"/>
      <c r="Q100" s="143"/>
      <c r="R100" s="143"/>
      <c r="S100" s="143"/>
      <c r="T100" s="143"/>
      <c r="U100" s="143"/>
      <c r="V100" s="143"/>
      <c r="W100" s="143"/>
      <c r="X100" s="143"/>
      <c r="Y100" s="143"/>
      <c r="Z100" s="143"/>
      <c r="AA100" s="36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7"/>
      <c r="CE100" s="37"/>
      <c r="CF100" s="37"/>
      <c r="CG100" s="37"/>
      <c r="CH100" s="37"/>
      <c r="CI100" s="37"/>
      <c r="CJ100" s="37"/>
      <c r="CK100" s="37"/>
      <c r="CL100" s="37"/>
      <c r="CM100" s="37"/>
      <c r="CN100" s="37"/>
      <c r="CO100" s="37"/>
      <c r="CP100" s="37"/>
      <c r="CQ100" s="37"/>
      <c r="CR100" s="37"/>
      <c r="CS100" s="37"/>
      <c r="CT100" s="37"/>
      <c r="CU100" s="37"/>
      <c r="CV100" s="37"/>
      <c r="CW100" s="37"/>
      <c r="CX100" s="37"/>
      <c r="CY100" s="37"/>
      <c r="CZ100" s="37"/>
      <c r="DA100" s="37"/>
      <c r="DB100" s="37"/>
      <c r="DC100" s="37"/>
      <c r="DD100" s="37"/>
      <c r="DE100" s="37"/>
      <c r="DF100" s="37"/>
      <c r="DG100" s="37"/>
      <c r="DH100" s="37"/>
      <c r="DI100" s="37"/>
      <c r="DJ100" s="108"/>
      <c r="DK100" s="108"/>
      <c r="DL100" s="108"/>
      <c r="DM100" s="108"/>
      <c r="DN100" s="108"/>
      <c r="DO100" s="108"/>
      <c r="DP100" s="108"/>
      <c r="DQ100" s="108"/>
      <c r="DR100" s="108"/>
      <c r="DS100" s="108"/>
    </row>
    <row r="101" spans="1:123">
      <c r="A101" s="142"/>
      <c r="B101" s="143"/>
      <c r="C101" s="143"/>
      <c r="D101" s="143"/>
      <c r="E101" s="143"/>
      <c r="F101" s="143"/>
      <c r="G101" s="143"/>
      <c r="H101" s="143"/>
      <c r="I101" s="143"/>
      <c r="J101" s="143"/>
      <c r="K101" s="143"/>
      <c r="L101" s="143"/>
      <c r="M101" s="36"/>
      <c r="N101" s="142"/>
      <c r="O101" s="143"/>
      <c r="P101" s="143"/>
      <c r="Q101" s="143"/>
      <c r="R101" s="143"/>
      <c r="S101" s="143"/>
      <c r="T101" s="143"/>
      <c r="U101" s="143"/>
      <c r="V101" s="143"/>
      <c r="W101" s="143"/>
      <c r="X101" s="143"/>
      <c r="Y101" s="143"/>
      <c r="Z101" s="143"/>
      <c r="AA101" s="36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  <c r="BZ101" s="37"/>
      <c r="CA101" s="37"/>
      <c r="CB101" s="37"/>
      <c r="CC101" s="37"/>
      <c r="CD101" s="37"/>
      <c r="CE101" s="37"/>
      <c r="CF101" s="37"/>
      <c r="CG101" s="37"/>
      <c r="CH101" s="37"/>
      <c r="CI101" s="37"/>
      <c r="CJ101" s="37"/>
      <c r="CK101" s="37"/>
      <c r="CL101" s="37"/>
      <c r="CM101" s="37"/>
      <c r="CN101" s="37"/>
      <c r="CO101" s="37"/>
      <c r="CP101" s="37"/>
      <c r="CQ101" s="37"/>
      <c r="CR101" s="37"/>
      <c r="CS101" s="37"/>
      <c r="CT101" s="37"/>
      <c r="CU101" s="37"/>
      <c r="CV101" s="37"/>
      <c r="CW101" s="37"/>
      <c r="CX101" s="37"/>
      <c r="CY101" s="37"/>
      <c r="CZ101" s="37"/>
      <c r="DA101" s="37"/>
      <c r="DB101" s="37"/>
      <c r="DC101" s="37"/>
      <c r="DD101" s="37"/>
      <c r="DE101" s="37"/>
      <c r="DF101" s="37"/>
      <c r="DG101" s="37"/>
      <c r="DH101" s="37"/>
      <c r="DI101" s="37"/>
      <c r="DJ101" s="108"/>
      <c r="DK101" s="108"/>
      <c r="DL101" s="108"/>
      <c r="DM101" s="108"/>
      <c r="DN101" s="108"/>
      <c r="DO101" s="108"/>
      <c r="DP101" s="108"/>
      <c r="DQ101" s="108"/>
      <c r="DR101" s="108"/>
      <c r="DS101" s="108"/>
    </row>
    <row r="102" spans="1:123">
      <c r="A102" s="142"/>
      <c r="B102" s="143"/>
      <c r="C102" s="143"/>
      <c r="D102" s="143"/>
      <c r="E102" s="143"/>
      <c r="F102" s="143"/>
      <c r="G102" s="143"/>
      <c r="H102" s="143"/>
      <c r="I102" s="143"/>
      <c r="J102" s="143"/>
      <c r="K102" s="143"/>
      <c r="L102" s="143"/>
      <c r="M102" s="36"/>
      <c r="N102" s="142"/>
      <c r="O102" s="143"/>
      <c r="P102" s="143"/>
      <c r="Q102" s="143"/>
      <c r="R102" s="143"/>
      <c r="S102" s="143"/>
      <c r="T102" s="143"/>
      <c r="U102" s="143"/>
      <c r="V102" s="143"/>
      <c r="W102" s="143"/>
      <c r="X102" s="143"/>
      <c r="Y102" s="143"/>
      <c r="Z102" s="143"/>
      <c r="AA102" s="36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  <c r="BV102" s="37"/>
      <c r="BW102" s="37"/>
      <c r="BX102" s="37"/>
      <c r="BY102" s="37"/>
      <c r="BZ102" s="37"/>
      <c r="CA102" s="37"/>
      <c r="CB102" s="37"/>
      <c r="CC102" s="37"/>
      <c r="CD102" s="37"/>
      <c r="CE102" s="37"/>
      <c r="CF102" s="37"/>
      <c r="CG102" s="37"/>
      <c r="CH102" s="37"/>
      <c r="CI102" s="37"/>
      <c r="CJ102" s="37"/>
      <c r="CK102" s="37"/>
      <c r="CL102" s="37"/>
      <c r="CM102" s="37"/>
      <c r="CN102" s="37"/>
      <c r="CO102" s="37"/>
      <c r="CP102" s="37"/>
      <c r="CQ102" s="37"/>
      <c r="CR102" s="37"/>
      <c r="CS102" s="37"/>
      <c r="CT102" s="37"/>
      <c r="CU102" s="37"/>
      <c r="CV102" s="37"/>
      <c r="CW102" s="37"/>
      <c r="CX102" s="37"/>
      <c r="CY102" s="37"/>
      <c r="CZ102" s="37"/>
      <c r="DA102" s="37"/>
      <c r="DB102" s="37"/>
      <c r="DC102" s="37"/>
      <c r="DD102" s="37"/>
      <c r="DE102" s="37"/>
      <c r="DF102" s="37"/>
      <c r="DG102" s="37"/>
      <c r="DH102" s="37"/>
      <c r="DI102" s="37"/>
      <c r="DJ102" s="108"/>
      <c r="DK102" s="108"/>
      <c r="DL102" s="108"/>
      <c r="DM102" s="108"/>
      <c r="DN102" s="108"/>
      <c r="DO102" s="108"/>
      <c r="DP102" s="108"/>
      <c r="DQ102" s="108"/>
      <c r="DR102" s="108"/>
      <c r="DS102" s="108"/>
    </row>
    <row r="103" spans="1:123">
      <c r="A103" s="142"/>
      <c r="B103" s="143"/>
      <c r="C103" s="143"/>
      <c r="D103" s="143"/>
      <c r="E103" s="143"/>
      <c r="F103" s="143"/>
      <c r="G103" s="143"/>
      <c r="H103" s="143"/>
      <c r="I103" s="143"/>
      <c r="J103" s="143"/>
      <c r="K103" s="143"/>
      <c r="L103" s="143"/>
      <c r="M103" s="36"/>
      <c r="N103" s="142"/>
      <c r="O103" s="143"/>
      <c r="P103" s="143"/>
      <c r="Q103" s="143"/>
      <c r="R103" s="143"/>
      <c r="S103" s="143"/>
      <c r="T103" s="143"/>
      <c r="U103" s="143"/>
      <c r="V103" s="143"/>
      <c r="W103" s="143"/>
      <c r="X103" s="143"/>
      <c r="Y103" s="143"/>
      <c r="Z103" s="143"/>
      <c r="AA103" s="36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7"/>
      <c r="BY103" s="37"/>
      <c r="BZ103" s="37"/>
      <c r="CA103" s="37"/>
      <c r="CB103" s="37"/>
      <c r="CC103" s="37"/>
      <c r="CD103" s="37"/>
      <c r="CE103" s="37"/>
      <c r="CF103" s="37"/>
      <c r="CG103" s="37"/>
      <c r="CH103" s="37"/>
      <c r="CI103" s="37"/>
      <c r="CJ103" s="37"/>
      <c r="CK103" s="37"/>
      <c r="CL103" s="37"/>
      <c r="CM103" s="37"/>
      <c r="CN103" s="37"/>
      <c r="CO103" s="37"/>
      <c r="CP103" s="37"/>
      <c r="CQ103" s="37"/>
      <c r="CR103" s="37"/>
      <c r="CS103" s="37"/>
      <c r="CT103" s="37"/>
      <c r="CU103" s="37"/>
      <c r="CV103" s="37"/>
      <c r="CW103" s="37"/>
      <c r="CX103" s="37"/>
      <c r="CY103" s="37"/>
      <c r="CZ103" s="37"/>
      <c r="DA103" s="37"/>
      <c r="DB103" s="37"/>
      <c r="DC103" s="37"/>
      <c r="DD103" s="37"/>
      <c r="DE103" s="37"/>
      <c r="DF103" s="37"/>
      <c r="DG103" s="37"/>
      <c r="DH103" s="37"/>
      <c r="DI103" s="37"/>
      <c r="DJ103" s="108"/>
      <c r="DK103" s="108"/>
      <c r="DL103" s="108"/>
      <c r="DM103" s="108"/>
      <c r="DN103" s="108"/>
      <c r="DO103" s="108"/>
      <c r="DP103" s="108"/>
      <c r="DQ103" s="108"/>
      <c r="DR103" s="108"/>
      <c r="DS103" s="108"/>
    </row>
    <row r="104" spans="1:123">
      <c r="A104" s="142"/>
      <c r="B104" s="143"/>
      <c r="C104" s="143"/>
      <c r="D104" s="143"/>
      <c r="E104" s="143"/>
      <c r="F104" s="143"/>
      <c r="G104" s="143"/>
      <c r="H104" s="143"/>
      <c r="I104" s="143"/>
      <c r="J104" s="143"/>
      <c r="K104" s="143"/>
      <c r="L104" s="143"/>
      <c r="M104" s="36"/>
      <c r="N104" s="142"/>
      <c r="O104" s="143"/>
      <c r="P104" s="143"/>
      <c r="Q104" s="143"/>
      <c r="R104" s="143"/>
      <c r="S104" s="143"/>
      <c r="T104" s="143"/>
      <c r="U104" s="143"/>
      <c r="V104" s="143"/>
      <c r="W104" s="143"/>
      <c r="X104" s="143"/>
      <c r="Y104" s="143"/>
      <c r="Z104" s="143"/>
      <c r="AA104" s="36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7"/>
      <c r="BR104" s="37"/>
      <c r="BS104" s="37"/>
      <c r="BT104" s="37"/>
      <c r="BU104" s="37"/>
      <c r="BV104" s="37"/>
      <c r="BW104" s="37"/>
      <c r="BX104" s="37"/>
      <c r="BY104" s="37"/>
      <c r="BZ104" s="37"/>
      <c r="CA104" s="37"/>
      <c r="CB104" s="37"/>
      <c r="CC104" s="37"/>
      <c r="CD104" s="37"/>
      <c r="CE104" s="37"/>
      <c r="CF104" s="37"/>
      <c r="CG104" s="37"/>
      <c r="CH104" s="37"/>
      <c r="CI104" s="37"/>
      <c r="CJ104" s="37"/>
      <c r="CK104" s="37"/>
      <c r="CL104" s="37"/>
      <c r="CM104" s="37"/>
      <c r="CN104" s="37"/>
      <c r="CO104" s="37"/>
      <c r="CP104" s="37"/>
      <c r="CQ104" s="37"/>
      <c r="CR104" s="37"/>
      <c r="CS104" s="37"/>
      <c r="CT104" s="37"/>
      <c r="CU104" s="37"/>
      <c r="CV104" s="37"/>
      <c r="CW104" s="37"/>
      <c r="CX104" s="37"/>
      <c r="CY104" s="37"/>
      <c r="CZ104" s="37"/>
      <c r="DA104" s="37"/>
      <c r="DB104" s="37"/>
      <c r="DC104" s="37"/>
      <c r="DD104" s="37"/>
      <c r="DE104" s="37"/>
      <c r="DF104" s="37"/>
      <c r="DG104" s="37"/>
      <c r="DH104" s="37"/>
      <c r="DI104" s="37"/>
      <c r="DJ104" s="108"/>
      <c r="DK104" s="108"/>
      <c r="DL104" s="108"/>
      <c r="DM104" s="108"/>
      <c r="DN104" s="108"/>
      <c r="DO104" s="108"/>
      <c r="DP104" s="108"/>
      <c r="DQ104" s="108"/>
      <c r="DR104" s="108"/>
      <c r="DS104" s="108"/>
    </row>
    <row r="105" spans="1:123">
      <c r="A105" s="142"/>
      <c r="B105" s="143"/>
      <c r="C105" s="143"/>
      <c r="D105" s="143"/>
      <c r="E105" s="143"/>
      <c r="F105" s="143"/>
      <c r="G105" s="143"/>
      <c r="H105" s="143"/>
      <c r="I105" s="143"/>
      <c r="J105" s="143"/>
      <c r="K105" s="143"/>
      <c r="L105" s="143"/>
      <c r="M105" s="36"/>
      <c r="N105" s="142"/>
      <c r="O105" s="143"/>
      <c r="P105" s="143"/>
      <c r="Q105" s="143"/>
      <c r="R105" s="143"/>
      <c r="S105" s="143"/>
      <c r="T105" s="143"/>
      <c r="U105" s="143"/>
      <c r="V105" s="143"/>
      <c r="W105" s="143"/>
      <c r="X105" s="143"/>
      <c r="Y105" s="143"/>
      <c r="Z105" s="143"/>
      <c r="AA105" s="36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  <c r="BO105" s="37"/>
      <c r="BP105" s="37"/>
      <c r="BQ105" s="37"/>
      <c r="BR105" s="37"/>
      <c r="BS105" s="37"/>
      <c r="BT105" s="37"/>
      <c r="BU105" s="37"/>
      <c r="BV105" s="37"/>
      <c r="BW105" s="37"/>
      <c r="BX105" s="37"/>
      <c r="BY105" s="37"/>
      <c r="BZ105" s="37"/>
      <c r="CA105" s="37"/>
      <c r="CB105" s="37"/>
      <c r="CC105" s="37"/>
      <c r="CD105" s="37"/>
      <c r="CE105" s="37"/>
      <c r="CF105" s="37"/>
      <c r="CG105" s="37"/>
      <c r="CH105" s="37"/>
      <c r="CI105" s="37"/>
      <c r="CJ105" s="37"/>
      <c r="CK105" s="37"/>
      <c r="CL105" s="37"/>
      <c r="CM105" s="37"/>
      <c r="CN105" s="37"/>
      <c r="CO105" s="37"/>
      <c r="CP105" s="37"/>
      <c r="CQ105" s="37"/>
      <c r="CR105" s="37"/>
      <c r="CS105" s="37"/>
      <c r="CT105" s="37"/>
      <c r="CU105" s="37"/>
      <c r="CV105" s="37"/>
      <c r="CW105" s="37"/>
      <c r="CX105" s="37"/>
      <c r="CY105" s="37"/>
      <c r="CZ105" s="37"/>
      <c r="DA105" s="37"/>
      <c r="DB105" s="37"/>
      <c r="DC105" s="37"/>
      <c r="DD105" s="37"/>
      <c r="DE105" s="37"/>
      <c r="DF105" s="37"/>
      <c r="DG105" s="37"/>
      <c r="DH105" s="37"/>
      <c r="DI105" s="37"/>
      <c r="DJ105" s="108"/>
      <c r="DK105" s="108"/>
      <c r="DL105" s="108"/>
      <c r="DM105" s="108"/>
      <c r="DN105" s="108"/>
      <c r="DO105" s="108"/>
      <c r="DP105" s="108"/>
      <c r="DQ105" s="108"/>
      <c r="DR105" s="108"/>
      <c r="DS105" s="108"/>
    </row>
    <row r="106" spans="1:123">
      <c r="A106" s="142"/>
      <c r="B106" s="143"/>
      <c r="C106" s="143"/>
      <c r="D106" s="143"/>
      <c r="E106" s="143"/>
      <c r="F106" s="143"/>
      <c r="G106" s="143"/>
      <c r="H106" s="143"/>
      <c r="I106" s="143"/>
      <c r="J106" s="143"/>
      <c r="K106" s="143"/>
      <c r="L106" s="143"/>
      <c r="M106" s="36"/>
      <c r="N106" s="142"/>
      <c r="O106" s="143"/>
      <c r="P106" s="143"/>
      <c r="Q106" s="143"/>
      <c r="R106" s="143"/>
      <c r="S106" s="143"/>
      <c r="T106" s="143"/>
      <c r="U106" s="143"/>
      <c r="V106" s="143"/>
      <c r="W106" s="143"/>
      <c r="X106" s="143"/>
      <c r="Y106" s="143"/>
      <c r="Z106" s="143"/>
      <c r="AA106" s="36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  <c r="BV106" s="37"/>
      <c r="BW106" s="37"/>
      <c r="BX106" s="37"/>
      <c r="BY106" s="37"/>
      <c r="BZ106" s="37"/>
      <c r="CA106" s="37"/>
      <c r="CB106" s="37"/>
      <c r="CC106" s="37"/>
      <c r="CD106" s="37"/>
      <c r="CE106" s="37"/>
      <c r="CF106" s="37"/>
      <c r="CG106" s="37"/>
      <c r="CH106" s="37"/>
      <c r="CI106" s="37"/>
      <c r="CJ106" s="37"/>
      <c r="CK106" s="37"/>
      <c r="CL106" s="37"/>
      <c r="CM106" s="37"/>
      <c r="CN106" s="37"/>
      <c r="CO106" s="37"/>
      <c r="CP106" s="37"/>
      <c r="CQ106" s="37"/>
      <c r="CR106" s="37"/>
      <c r="CS106" s="37"/>
      <c r="CT106" s="37"/>
      <c r="CU106" s="37"/>
      <c r="CV106" s="37"/>
      <c r="CW106" s="37"/>
      <c r="CX106" s="37"/>
      <c r="CY106" s="37"/>
      <c r="CZ106" s="37"/>
      <c r="DA106" s="37"/>
      <c r="DB106" s="37"/>
      <c r="DC106" s="37"/>
      <c r="DD106" s="37"/>
      <c r="DE106" s="37"/>
      <c r="DF106" s="37"/>
      <c r="DG106" s="37"/>
      <c r="DH106" s="37"/>
      <c r="DI106" s="37"/>
      <c r="DJ106" s="108"/>
      <c r="DK106" s="108"/>
      <c r="DL106" s="108"/>
      <c r="DM106" s="108"/>
      <c r="DN106" s="108"/>
      <c r="DO106" s="108"/>
      <c r="DP106" s="108"/>
      <c r="DQ106" s="108"/>
      <c r="DR106" s="108"/>
      <c r="DS106" s="108"/>
    </row>
    <row r="107" spans="1:123">
      <c r="A107" s="142"/>
      <c r="B107" s="143"/>
      <c r="C107" s="143"/>
      <c r="D107" s="143"/>
      <c r="E107" s="143"/>
      <c r="F107" s="143"/>
      <c r="G107" s="143"/>
      <c r="H107" s="143"/>
      <c r="I107" s="143"/>
      <c r="J107" s="143"/>
      <c r="K107" s="143"/>
      <c r="L107" s="143"/>
      <c r="M107" s="36"/>
      <c r="N107" s="142"/>
      <c r="O107" s="143"/>
      <c r="P107" s="143"/>
      <c r="Q107" s="143"/>
      <c r="R107" s="143"/>
      <c r="S107" s="143"/>
      <c r="T107" s="143"/>
      <c r="U107" s="143"/>
      <c r="V107" s="143"/>
      <c r="W107" s="143"/>
      <c r="X107" s="143"/>
      <c r="Y107" s="143"/>
      <c r="Z107" s="143"/>
      <c r="AA107" s="36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  <c r="BU107" s="37"/>
      <c r="BV107" s="37"/>
      <c r="BW107" s="37"/>
      <c r="BX107" s="37"/>
      <c r="BY107" s="37"/>
      <c r="BZ107" s="37"/>
      <c r="CA107" s="37"/>
      <c r="CB107" s="37"/>
      <c r="CC107" s="37"/>
      <c r="CD107" s="37"/>
      <c r="CE107" s="37"/>
      <c r="CF107" s="37"/>
      <c r="CG107" s="37"/>
      <c r="CH107" s="37"/>
      <c r="CI107" s="37"/>
      <c r="CJ107" s="37"/>
      <c r="CK107" s="37"/>
      <c r="CL107" s="37"/>
      <c r="CM107" s="37"/>
      <c r="CN107" s="37"/>
      <c r="CO107" s="37"/>
      <c r="CP107" s="37"/>
      <c r="CQ107" s="37"/>
      <c r="CR107" s="37"/>
      <c r="CS107" s="37"/>
      <c r="CT107" s="37"/>
      <c r="CU107" s="37"/>
      <c r="CV107" s="37"/>
      <c r="CW107" s="37"/>
      <c r="CX107" s="37"/>
      <c r="CY107" s="37"/>
      <c r="CZ107" s="37"/>
      <c r="DA107" s="37"/>
      <c r="DB107" s="37"/>
      <c r="DC107" s="37"/>
      <c r="DD107" s="37"/>
      <c r="DE107" s="37"/>
      <c r="DF107" s="37"/>
      <c r="DG107" s="37"/>
      <c r="DH107" s="37"/>
      <c r="DI107" s="37"/>
      <c r="DJ107" s="108"/>
      <c r="DK107" s="108"/>
      <c r="DL107" s="108"/>
      <c r="DM107" s="108"/>
      <c r="DN107" s="108"/>
      <c r="DO107" s="108"/>
      <c r="DP107" s="108"/>
      <c r="DQ107" s="108"/>
      <c r="DR107" s="108"/>
      <c r="DS107" s="108"/>
    </row>
    <row r="108" spans="1:123">
      <c r="A108" s="142"/>
      <c r="B108" s="143"/>
      <c r="C108" s="143"/>
      <c r="D108" s="143"/>
      <c r="E108" s="143"/>
      <c r="F108" s="143"/>
      <c r="G108" s="143"/>
      <c r="H108" s="143"/>
      <c r="I108" s="143"/>
      <c r="J108" s="143"/>
      <c r="K108" s="143"/>
      <c r="L108" s="143"/>
      <c r="M108" s="36"/>
      <c r="N108" s="142"/>
      <c r="O108" s="143"/>
      <c r="P108" s="143"/>
      <c r="Q108" s="143"/>
      <c r="R108" s="143"/>
      <c r="S108" s="143"/>
      <c r="T108" s="143"/>
      <c r="U108" s="143"/>
      <c r="V108" s="143"/>
      <c r="W108" s="143"/>
      <c r="X108" s="143"/>
      <c r="Y108" s="143"/>
      <c r="Z108" s="143"/>
      <c r="AA108" s="36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  <c r="BM108" s="37"/>
      <c r="BN108" s="37"/>
      <c r="BO108" s="37"/>
      <c r="BP108" s="37"/>
      <c r="BQ108" s="37"/>
      <c r="BR108" s="37"/>
      <c r="BS108" s="37"/>
      <c r="BT108" s="37"/>
      <c r="BU108" s="37"/>
      <c r="BV108" s="37"/>
      <c r="BW108" s="37"/>
      <c r="BX108" s="37"/>
      <c r="BY108" s="37"/>
      <c r="BZ108" s="37"/>
      <c r="CA108" s="37"/>
      <c r="CB108" s="37"/>
      <c r="CC108" s="37"/>
      <c r="CD108" s="37"/>
      <c r="CE108" s="37"/>
      <c r="CF108" s="37"/>
      <c r="CG108" s="37"/>
      <c r="CH108" s="37"/>
      <c r="CI108" s="37"/>
      <c r="CJ108" s="37"/>
      <c r="CK108" s="37"/>
      <c r="CL108" s="37"/>
      <c r="CM108" s="37"/>
      <c r="CN108" s="37"/>
      <c r="CO108" s="37"/>
      <c r="CP108" s="37"/>
      <c r="CQ108" s="37"/>
      <c r="CR108" s="37"/>
      <c r="CS108" s="37"/>
      <c r="CT108" s="37"/>
      <c r="CU108" s="37"/>
      <c r="CV108" s="37"/>
      <c r="CW108" s="37"/>
      <c r="CX108" s="37"/>
      <c r="CY108" s="37"/>
      <c r="CZ108" s="37"/>
      <c r="DA108" s="37"/>
      <c r="DB108" s="37"/>
      <c r="DC108" s="37"/>
      <c r="DD108" s="37"/>
      <c r="DE108" s="37"/>
      <c r="DF108" s="37"/>
      <c r="DG108" s="37"/>
      <c r="DH108" s="37"/>
      <c r="DI108" s="37"/>
      <c r="DJ108" s="108"/>
      <c r="DK108" s="108"/>
      <c r="DL108" s="108"/>
      <c r="DM108" s="108"/>
      <c r="DN108" s="108"/>
      <c r="DO108" s="108"/>
      <c r="DP108" s="108"/>
      <c r="DQ108" s="108"/>
      <c r="DR108" s="108"/>
      <c r="DS108" s="108"/>
    </row>
    <row r="109" spans="1:123">
      <c r="A109" s="142"/>
      <c r="B109" s="143"/>
      <c r="C109" s="143"/>
      <c r="D109" s="143"/>
      <c r="E109" s="143"/>
      <c r="F109" s="143"/>
      <c r="G109" s="143"/>
      <c r="H109" s="143"/>
      <c r="I109" s="143"/>
      <c r="J109" s="143"/>
      <c r="K109" s="143"/>
      <c r="L109" s="143"/>
      <c r="M109" s="36"/>
      <c r="N109" s="142"/>
      <c r="O109" s="143"/>
      <c r="P109" s="143"/>
      <c r="Q109" s="143"/>
      <c r="R109" s="143"/>
      <c r="S109" s="143"/>
      <c r="T109" s="143"/>
      <c r="U109" s="143"/>
      <c r="V109" s="143"/>
      <c r="W109" s="143"/>
      <c r="X109" s="143"/>
      <c r="Y109" s="143"/>
      <c r="Z109" s="143"/>
      <c r="AA109" s="36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37"/>
      <c r="BW109" s="37"/>
      <c r="BX109" s="37"/>
      <c r="BY109" s="37"/>
      <c r="BZ109" s="37"/>
      <c r="CA109" s="37"/>
      <c r="CB109" s="37"/>
      <c r="CC109" s="37"/>
      <c r="CD109" s="37"/>
      <c r="CE109" s="37"/>
      <c r="CF109" s="37"/>
      <c r="CG109" s="37"/>
      <c r="CH109" s="37"/>
      <c r="CI109" s="37"/>
      <c r="CJ109" s="37"/>
      <c r="CK109" s="37"/>
      <c r="CL109" s="37"/>
      <c r="CM109" s="37"/>
      <c r="CN109" s="37"/>
      <c r="CO109" s="37"/>
      <c r="CP109" s="37"/>
      <c r="CQ109" s="37"/>
      <c r="CR109" s="37"/>
      <c r="CS109" s="37"/>
      <c r="CT109" s="37"/>
      <c r="CU109" s="37"/>
      <c r="CV109" s="37"/>
      <c r="CW109" s="37"/>
      <c r="CX109" s="37"/>
      <c r="CY109" s="37"/>
      <c r="CZ109" s="37"/>
      <c r="DA109" s="37"/>
      <c r="DB109" s="37"/>
      <c r="DC109" s="37"/>
      <c r="DD109" s="37"/>
      <c r="DE109" s="37"/>
      <c r="DF109" s="37"/>
      <c r="DG109" s="37"/>
      <c r="DH109" s="37"/>
      <c r="DI109" s="37"/>
      <c r="DJ109" s="108"/>
      <c r="DK109" s="108"/>
      <c r="DL109" s="108"/>
      <c r="DM109" s="108"/>
      <c r="DN109" s="108"/>
      <c r="DO109" s="108"/>
      <c r="DP109" s="108"/>
      <c r="DQ109" s="108"/>
      <c r="DR109" s="108"/>
      <c r="DS109" s="108"/>
    </row>
    <row r="110" spans="1:123">
      <c r="A110" s="142"/>
      <c r="B110" s="143"/>
      <c r="C110" s="143"/>
      <c r="D110" s="143"/>
      <c r="E110" s="143"/>
      <c r="F110" s="143"/>
      <c r="G110" s="143"/>
      <c r="H110" s="143"/>
      <c r="I110" s="143"/>
      <c r="J110" s="143"/>
      <c r="K110" s="143"/>
      <c r="L110" s="143"/>
      <c r="M110" s="36"/>
      <c r="N110" s="142"/>
      <c r="O110" s="143"/>
      <c r="P110" s="143"/>
      <c r="Q110" s="143"/>
      <c r="R110" s="143"/>
      <c r="S110" s="143"/>
      <c r="T110" s="143"/>
      <c r="U110" s="143"/>
      <c r="V110" s="143"/>
      <c r="W110" s="143"/>
      <c r="X110" s="143"/>
      <c r="Y110" s="143"/>
      <c r="Z110" s="143"/>
      <c r="AA110" s="36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  <c r="BM110" s="37"/>
      <c r="BN110" s="37"/>
      <c r="BO110" s="37"/>
      <c r="BP110" s="37"/>
      <c r="BQ110" s="37"/>
      <c r="BR110" s="37"/>
      <c r="BS110" s="37"/>
      <c r="BT110" s="37"/>
      <c r="BU110" s="37"/>
      <c r="BV110" s="37"/>
      <c r="BW110" s="37"/>
      <c r="BX110" s="37"/>
      <c r="BY110" s="37"/>
      <c r="BZ110" s="37"/>
      <c r="CA110" s="37"/>
      <c r="CB110" s="37"/>
      <c r="CC110" s="37"/>
      <c r="CD110" s="37"/>
      <c r="CE110" s="37"/>
      <c r="CF110" s="37"/>
      <c r="CG110" s="37"/>
      <c r="CH110" s="37"/>
      <c r="CI110" s="37"/>
      <c r="CJ110" s="37"/>
      <c r="CK110" s="37"/>
      <c r="CL110" s="37"/>
      <c r="CM110" s="37"/>
      <c r="CN110" s="37"/>
      <c r="CO110" s="37"/>
      <c r="CP110" s="37"/>
      <c r="CQ110" s="37"/>
      <c r="CR110" s="37"/>
      <c r="CS110" s="37"/>
      <c r="CT110" s="37"/>
      <c r="CU110" s="37"/>
      <c r="CV110" s="37"/>
      <c r="CW110" s="37"/>
      <c r="CX110" s="37"/>
      <c r="CY110" s="37"/>
      <c r="CZ110" s="37"/>
      <c r="DA110" s="37"/>
      <c r="DB110" s="37"/>
      <c r="DC110" s="37"/>
      <c r="DD110" s="37"/>
      <c r="DE110" s="37"/>
      <c r="DF110" s="37"/>
      <c r="DG110" s="37"/>
      <c r="DH110" s="37"/>
      <c r="DI110" s="37"/>
      <c r="DJ110" s="108"/>
      <c r="DK110" s="108"/>
      <c r="DL110" s="108"/>
      <c r="DM110" s="108"/>
      <c r="DN110" s="108"/>
      <c r="DO110" s="108"/>
      <c r="DP110" s="108"/>
      <c r="DQ110" s="108"/>
      <c r="DR110" s="108"/>
      <c r="DS110" s="108"/>
    </row>
    <row r="111" spans="1:123">
      <c r="A111" s="142"/>
      <c r="B111" s="143"/>
      <c r="C111" s="143"/>
      <c r="D111" s="143"/>
      <c r="E111" s="143"/>
      <c r="F111" s="143"/>
      <c r="G111" s="143"/>
      <c r="H111" s="143"/>
      <c r="I111" s="143"/>
      <c r="J111" s="143"/>
      <c r="K111" s="143"/>
      <c r="L111" s="143"/>
      <c r="M111" s="36"/>
      <c r="N111" s="142"/>
      <c r="O111" s="143"/>
      <c r="P111" s="143"/>
      <c r="Q111" s="143"/>
      <c r="R111" s="143"/>
      <c r="S111" s="143"/>
      <c r="T111" s="143"/>
      <c r="U111" s="143"/>
      <c r="V111" s="143"/>
      <c r="W111" s="143"/>
      <c r="X111" s="143"/>
      <c r="Y111" s="143"/>
      <c r="Z111" s="143"/>
      <c r="AA111" s="36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  <c r="BM111" s="37"/>
      <c r="BN111" s="37"/>
      <c r="BO111" s="37"/>
      <c r="BP111" s="37"/>
      <c r="BQ111" s="37"/>
      <c r="BR111" s="37"/>
      <c r="BS111" s="37"/>
      <c r="BT111" s="37"/>
      <c r="BU111" s="37"/>
      <c r="BV111" s="37"/>
      <c r="BW111" s="37"/>
      <c r="BX111" s="37"/>
      <c r="BY111" s="37"/>
      <c r="BZ111" s="37"/>
      <c r="CA111" s="37"/>
      <c r="CB111" s="37"/>
      <c r="CC111" s="37"/>
      <c r="CD111" s="37"/>
      <c r="CE111" s="37"/>
      <c r="CF111" s="37"/>
      <c r="CG111" s="37"/>
      <c r="CH111" s="37"/>
      <c r="CI111" s="37"/>
      <c r="CJ111" s="37"/>
      <c r="CK111" s="37"/>
      <c r="CL111" s="37"/>
      <c r="CM111" s="37"/>
      <c r="CN111" s="37"/>
      <c r="CO111" s="37"/>
      <c r="CP111" s="37"/>
      <c r="CQ111" s="37"/>
      <c r="CR111" s="37"/>
      <c r="CS111" s="37"/>
      <c r="CT111" s="37"/>
      <c r="CU111" s="37"/>
      <c r="CV111" s="37"/>
      <c r="CW111" s="37"/>
      <c r="CX111" s="37"/>
      <c r="CY111" s="37"/>
      <c r="CZ111" s="37"/>
      <c r="DA111" s="37"/>
      <c r="DB111" s="37"/>
      <c r="DC111" s="37"/>
      <c r="DD111" s="37"/>
      <c r="DE111" s="37"/>
      <c r="DF111" s="37"/>
      <c r="DG111" s="37"/>
      <c r="DH111" s="37"/>
      <c r="DI111" s="37"/>
      <c r="DJ111" s="108"/>
      <c r="DK111" s="108"/>
      <c r="DL111" s="108"/>
      <c r="DM111" s="108"/>
      <c r="DN111" s="108"/>
      <c r="DO111" s="108"/>
      <c r="DP111" s="108"/>
      <c r="DQ111" s="108"/>
      <c r="DR111" s="108"/>
      <c r="DS111" s="108"/>
    </row>
    <row r="112" spans="1:123">
      <c r="A112" s="142"/>
      <c r="B112" s="143"/>
      <c r="C112" s="143"/>
      <c r="D112" s="143"/>
      <c r="E112" s="143"/>
      <c r="F112" s="143"/>
      <c r="G112" s="143"/>
      <c r="H112" s="143"/>
      <c r="I112" s="143"/>
      <c r="J112" s="143"/>
      <c r="K112" s="143"/>
      <c r="L112" s="143"/>
      <c r="M112" s="36"/>
      <c r="N112" s="142"/>
      <c r="O112" s="143"/>
      <c r="P112" s="143"/>
      <c r="Q112" s="143"/>
      <c r="R112" s="143"/>
      <c r="S112" s="143"/>
      <c r="T112" s="143"/>
      <c r="U112" s="143"/>
      <c r="V112" s="143"/>
      <c r="W112" s="143"/>
      <c r="X112" s="143"/>
      <c r="Y112" s="143"/>
      <c r="Z112" s="143"/>
      <c r="AA112" s="36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37"/>
      <c r="BM112" s="37"/>
      <c r="BN112" s="37"/>
      <c r="BO112" s="37"/>
      <c r="BP112" s="37"/>
      <c r="BQ112" s="37"/>
      <c r="BR112" s="37"/>
      <c r="BS112" s="37"/>
      <c r="BT112" s="37"/>
      <c r="BU112" s="37"/>
      <c r="BV112" s="37"/>
      <c r="BW112" s="37"/>
      <c r="BX112" s="37"/>
      <c r="BY112" s="37"/>
      <c r="BZ112" s="37"/>
      <c r="CA112" s="37"/>
      <c r="CB112" s="37"/>
      <c r="CC112" s="37"/>
      <c r="CD112" s="37"/>
      <c r="CE112" s="37"/>
      <c r="CF112" s="37"/>
      <c r="CG112" s="37"/>
      <c r="CH112" s="37"/>
      <c r="CI112" s="37"/>
      <c r="CJ112" s="37"/>
      <c r="CK112" s="37"/>
      <c r="CL112" s="37"/>
      <c r="CM112" s="37"/>
      <c r="CN112" s="37"/>
      <c r="CO112" s="37"/>
      <c r="CP112" s="37"/>
      <c r="CQ112" s="37"/>
      <c r="CR112" s="37"/>
      <c r="CS112" s="37"/>
      <c r="CT112" s="37"/>
      <c r="CU112" s="37"/>
      <c r="CV112" s="37"/>
      <c r="CW112" s="37"/>
      <c r="CX112" s="37"/>
      <c r="CY112" s="37"/>
      <c r="CZ112" s="37"/>
      <c r="DA112" s="37"/>
      <c r="DB112" s="37"/>
      <c r="DC112" s="37"/>
      <c r="DD112" s="37"/>
      <c r="DE112" s="37"/>
      <c r="DF112" s="37"/>
      <c r="DG112" s="37"/>
      <c r="DH112" s="37"/>
      <c r="DI112" s="37"/>
      <c r="DJ112" s="108"/>
      <c r="DK112" s="108"/>
      <c r="DL112" s="108"/>
      <c r="DM112" s="108"/>
      <c r="DN112" s="108"/>
      <c r="DO112" s="108"/>
      <c r="DP112" s="108"/>
      <c r="DQ112" s="108"/>
      <c r="DR112" s="108"/>
      <c r="DS112" s="108"/>
    </row>
    <row r="113" spans="1:123">
      <c r="A113" s="142"/>
      <c r="B113" s="143"/>
      <c r="C113" s="143"/>
      <c r="D113" s="143"/>
      <c r="E113" s="143"/>
      <c r="F113" s="143"/>
      <c r="G113" s="143"/>
      <c r="H113" s="143"/>
      <c r="I113" s="143"/>
      <c r="J113" s="143"/>
      <c r="K113" s="143"/>
      <c r="L113" s="143"/>
      <c r="M113" s="36"/>
      <c r="N113" s="142"/>
      <c r="O113" s="143"/>
      <c r="P113" s="143"/>
      <c r="Q113" s="143"/>
      <c r="R113" s="143"/>
      <c r="S113" s="143"/>
      <c r="T113" s="143"/>
      <c r="U113" s="143"/>
      <c r="V113" s="143"/>
      <c r="W113" s="143"/>
      <c r="X113" s="143"/>
      <c r="Y113" s="143"/>
      <c r="Z113" s="143"/>
      <c r="AA113" s="36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  <c r="BM113" s="37"/>
      <c r="BN113" s="37"/>
      <c r="BO113" s="37"/>
      <c r="BP113" s="37"/>
      <c r="BQ113" s="37"/>
      <c r="BR113" s="37"/>
      <c r="BS113" s="37"/>
      <c r="BT113" s="37"/>
      <c r="BU113" s="37"/>
      <c r="BV113" s="37"/>
      <c r="BW113" s="37"/>
      <c r="BX113" s="37"/>
      <c r="BY113" s="37"/>
      <c r="BZ113" s="37"/>
      <c r="CA113" s="37"/>
      <c r="CB113" s="37"/>
      <c r="CC113" s="37"/>
      <c r="CD113" s="37"/>
      <c r="CE113" s="37"/>
      <c r="CF113" s="37"/>
      <c r="CG113" s="37"/>
      <c r="CH113" s="37"/>
      <c r="CI113" s="37"/>
      <c r="CJ113" s="37"/>
      <c r="CK113" s="37"/>
      <c r="CL113" s="37"/>
      <c r="CM113" s="37"/>
      <c r="CN113" s="37"/>
      <c r="CO113" s="37"/>
      <c r="CP113" s="37"/>
      <c r="CQ113" s="37"/>
      <c r="CR113" s="37"/>
      <c r="CS113" s="37"/>
      <c r="CT113" s="37"/>
      <c r="CU113" s="37"/>
      <c r="CV113" s="37"/>
      <c r="CW113" s="37"/>
      <c r="CX113" s="37"/>
      <c r="CY113" s="37"/>
      <c r="CZ113" s="37"/>
      <c r="DA113" s="37"/>
      <c r="DB113" s="37"/>
      <c r="DC113" s="37"/>
      <c r="DD113" s="37"/>
      <c r="DE113" s="37"/>
      <c r="DF113" s="37"/>
      <c r="DG113" s="37"/>
      <c r="DH113" s="37"/>
      <c r="DI113" s="37"/>
      <c r="DJ113" s="108"/>
      <c r="DK113" s="108"/>
      <c r="DL113" s="108"/>
      <c r="DM113" s="108"/>
      <c r="DN113" s="108"/>
      <c r="DO113" s="108"/>
      <c r="DP113" s="108"/>
      <c r="DQ113" s="108"/>
      <c r="DR113" s="108"/>
      <c r="DS113" s="108"/>
    </row>
    <row r="114" spans="1:123">
      <c r="A114" s="142"/>
      <c r="B114" s="143"/>
      <c r="C114" s="143"/>
      <c r="D114" s="143"/>
      <c r="E114" s="143"/>
      <c r="F114" s="143"/>
      <c r="G114" s="143"/>
      <c r="H114" s="143"/>
      <c r="I114" s="143"/>
      <c r="J114" s="143"/>
      <c r="K114" s="143"/>
      <c r="L114" s="143"/>
      <c r="M114" s="36"/>
      <c r="N114" s="142"/>
      <c r="O114" s="143"/>
      <c r="P114" s="143"/>
      <c r="Q114" s="143"/>
      <c r="R114" s="143"/>
      <c r="S114" s="143"/>
      <c r="T114" s="143"/>
      <c r="U114" s="143"/>
      <c r="V114" s="143"/>
      <c r="W114" s="143"/>
      <c r="X114" s="143"/>
      <c r="Y114" s="143"/>
      <c r="Z114" s="143"/>
      <c r="AA114" s="36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7"/>
      <c r="BH114" s="37"/>
      <c r="BI114" s="37"/>
      <c r="BJ114" s="37"/>
      <c r="BK114" s="37"/>
      <c r="BL114" s="37"/>
      <c r="BM114" s="37"/>
      <c r="BN114" s="37"/>
      <c r="BO114" s="37"/>
      <c r="BP114" s="37"/>
      <c r="BQ114" s="37"/>
      <c r="BR114" s="37"/>
      <c r="BS114" s="37"/>
      <c r="BT114" s="37"/>
      <c r="BU114" s="37"/>
      <c r="BV114" s="37"/>
      <c r="BW114" s="37"/>
      <c r="BX114" s="37"/>
      <c r="BY114" s="37"/>
      <c r="BZ114" s="37"/>
      <c r="CA114" s="37"/>
      <c r="CB114" s="37"/>
      <c r="CC114" s="37"/>
      <c r="CD114" s="37"/>
      <c r="CE114" s="37"/>
      <c r="CF114" s="37"/>
      <c r="CG114" s="37"/>
      <c r="CH114" s="37"/>
      <c r="CI114" s="37"/>
      <c r="CJ114" s="37"/>
      <c r="CK114" s="37"/>
      <c r="CL114" s="37"/>
      <c r="CM114" s="37"/>
      <c r="CN114" s="37"/>
      <c r="CO114" s="37"/>
      <c r="CP114" s="37"/>
      <c r="CQ114" s="37"/>
      <c r="CR114" s="37"/>
      <c r="CS114" s="37"/>
      <c r="CT114" s="37"/>
      <c r="CU114" s="37"/>
      <c r="CV114" s="37"/>
      <c r="CW114" s="37"/>
      <c r="CX114" s="37"/>
      <c r="CY114" s="37"/>
      <c r="CZ114" s="37"/>
      <c r="DA114" s="37"/>
      <c r="DB114" s="37"/>
      <c r="DC114" s="37"/>
      <c r="DD114" s="37"/>
      <c r="DE114" s="37"/>
      <c r="DF114" s="37"/>
      <c r="DG114" s="37"/>
      <c r="DH114" s="37"/>
      <c r="DI114" s="37"/>
      <c r="DJ114" s="108"/>
      <c r="DK114" s="108"/>
      <c r="DL114" s="108"/>
      <c r="DM114" s="108"/>
      <c r="DN114" s="108"/>
      <c r="DO114" s="108"/>
      <c r="DP114" s="108"/>
      <c r="DQ114" s="108"/>
      <c r="DR114" s="108"/>
      <c r="DS114" s="108"/>
    </row>
    <row r="115" spans="1:123">
      <c r="A115" s="142"/>
      <c r="B115" s="143"/>
      <c r="C115" s="143"/>
      <c r="D115" s="143"/>
      <c r="E115" s="143"/>
      <c r="F115" s="143"/>
      <c r="G115" s="143"/>
      <c r="H115" s="143"/>
      <c r="I115" s="143"/>
      <c r="J115" s="143"/>
      <c r="K115" s="143"/>
      <c r="L115" s="143"/>
      <c r="M115" s="36"/>
      <c r="N115" s="142"/>
      <c r="O115" s="143"/>
      <c r="P115" s="143"/>
      <c r="Q115" s="143"/>
      <c r="R115" s="143"/>
      <c r="S115" s="143"/>
      <c r="T115" s="143"/>
      <c r="U115" s="143"/>
      <c r="V115" s="143"/>
      <c r="W115" s="143"/>
      <c r="X115" s="143"/>
      <c r="Y115" s="143"/>
      <c r="Z115" s="143"/>
      <c r="AA115" s="36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  <c r="BM115" s="37"/>
      <c r="BN115" s="37"/>
      <c r="BO115" s="37"/>
      <c r="BP115" s="37"/>
      <c r="BQ115" s="37"/>
      <c r="BR115" s="37"/>
      <c r="BS115" s="37"/>
      <c r="BT115" s="37"/>
      <c r="BU115" s="37"/>
      <c r="BV115" s="37"/>
      <c r="BW115" s="37"/>
      <c r="BX115" s="37"/>
      <c r="BY115" s="37"/>
      <c r="BZ115" s="37"/>
      <c r="CA115" s="37"/>
      <c r="CB115" s="37"/>
      <c r="CC115" s="37"/>
      <c r="CD115" s="37"/>
      <c r="CE115" s="37"/>
      <c r="CF115" s="37"/>
      <c r="CG115" s="37"/>
      <c r="CH115" s="37"/>
      <c r="CI115" s="37"/>
      <c r="CJ115" s="37"/>
      <c r="CK115" s="37"/>
      <c r="CL115" s="37"/>
      <c r="CM115" s="37"/>
      <c r="CN115" s="37"/>
      <c r="CO115" s="37"/>
      <c r="CP115" s="37"/>
      <c r="CQ115" s="37"/>
      <c r="CR115" s="37"/>
      <c r="CS115" s="37"/>
      <c r="CT115" s="37"/>
      <c r="CU115" s="37"/>
      <c r="CV115" s="37"/>
      <c r="CW115" s="37"/>
      <c r="CX115" s="37"/>
      <c r="CY115" s="37"/>
      <c r="CZ115" s="37"/>
      <c r="DA115" s="37"/>
      <c r="DB115" s="37"/>
      <c r="DC115" s="37"/>
      <c r="DD115" s="37"/>
      <c r="DE115" s="37"/>
      <c r="DF115" s="37"/>
      <c r="DG115" s="37"/>
      <c r="DH115" s="37"/>
      <c r="DI115" s="37"/>
      <c r="DJ115" s="108"/>
      <c r="DK115" s="108"/>
      <c r="DL115" s="108"/>
      <c r="DM115" s="108"/>
      <c r="DN115" s="108"/>
      <c r="DO115" s="108"/>
      <c r="DP115" s="108"/>
      <c r="DQ115" s="108"/>
      <c r="DR115" s="108"/>
      <c r="DS115" s="108"/>
    </row>
    <row r="116" spans="1:123">
      <c r="A116" s="142"/>
      <c r="B116" s="143"/>
      <c r="C116" s="143"/>
      <c r="D116" s="143"/>
      <c r="E116" s="143"/>
      <c r="F116" s="143"/>
      <c r="G116" s="143"/>
      <c r="H116" s="143"/>
      <c r="I116" s="143"/>
      <c r="J116" s="143"/>
      <c r="K116" s="143"/>
      <c r="L116" s="143"/>
      <c r="M116" s="36"/>
      <c r="N116" s="142"/>
      <c r="O116" s="143"/>
      <c r="P116" s="143"/>
      <c r="Q116" s="143"/>
      <c r="R116" s="143"/>
      <c r="S116" s="143"/>
      <c r="T116" s="143"/>
      <c r="U116" s="143"/>
      <c r="V116" s="143"/>
      <c r="W116" s="143"/>
      <c r="X116" s="143"/>
      <c r="Y116" s="143"/>
      <c r="Z116" s="143"/>
      <c r="AA116" s="36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  <c r="BH116" s="37"/>
      <c r="BI116" s="37"/>
      <c r="BJ116" s="37"/>
      <c r="BK116" s="37"/>
      <c r="BL116" s="37"/>
      <c r="BM116" s="37"/>
      <c r="BN116" s="37"/>
      <c r="BO116" s="37"/>
      <c r="BP116" s="37"/>
      <c r="BQ116" s="37"/>
      <c r="BR116" s="37"/>
      <c r="BS116" s="37"/>
      <c r="BT116" s="37"/>
      <c r="BU116" s="37"/>
      <c r="BV116" s="37"/>
      <c r="BW116" s="37"/>
      <c r="BX116" s="37"/>
      <c r="BY116" s="37"/>
      <c r="BZ116" s="37"/>
      <c r="CA116" s="37"/>
      <c r="CB116" s="37"/>
      <c r="CC116" s="37"/>
      <c r="CD116" s="37"/>
      <c r="CE116" s="37"/>
      <c r="CF116" s="37"/>
      <c r="CG116" s="37"/>
      <c r="CH116" s="37"/>
      <c r="CI116" s="37"/>
      <c r="CJ116" s="37"/>
      <c r="CK116" s="37"/>
      <c r="CL116" s="37"/>
      <c r="CM116" s="37"/>
      <c r="CN116" s="37"/>
      <c r="CO116" s="37"/>
      <c r="CP116" s="37"/>
      <c r="CQ116" s="37"/>
      <c r="CR116" s="37"/>
      <c r="CS116" s="37"/>
      <c r="CT116" s="37"/>
      <c r="CU116" s="37"/>
      <c r="CV116" s="37"/>
      <c r="CW116" s="37"/>
      <c r="CX116" s="37"/>
      <c r="CY116" s="37"/>
      <c r="CZ116" s="37"/>
      <c r="DA116" s="37"/>
      <c r="DB116" s="37"/>
      <c r="DC116" s="37"/>
      <c r="DD116" s="37"/>
      <c r="DE116" s="37"/>
      <c r="DF116" s="37"/>
      <c r="DG116" s="37"/>
      <c r="DH116" s="37"/>
      <c r="DI116" s="37"/>
      <c r="DJ116" s="108"/>
      <c r="DK116" s="108"/>
      <c r="DL116" s="108"/>
      <c r="DM116" s="108"/>
      <c r="DN116" s="108"/>
      <c r="DO116" s="108"/>
      <c r="DP116" s="108"/>
      <c r="DQ116" s="108"/>
      <c r="DR116" s="108"/>
      <c r="DS116" s="108"/>
    </row>
    <row r="117" spans="1:123">
      <c r="A117" s="142"/>
      <c r="B117" s="143"/>
      <c r="C117" s="143"/>
      <c r="D117" s="143"/>
      <c r="E117" s="143"/>
      <c r="F117" s="143"/>
      <c r="G117" s="143"/>
      <c r="H117" s="143"/>
      <c r="I117" s="143"/>
      <c r="J117" s="143"/>
      <c r="K117" s="143"/>
      <c r="L117" s="143"/>
      <c r="M117" s="36"/>
      <c r="N117" s="142"/>
      <c r="O117" s="143"/>
      <c r="P117" s="143"/>
      <c r="Q117" s="143"/>
      <c r="R117" s="143"/>
      <c r="S117" s="143"/>
      <c r="T117" s="143"/>
      <c r="U117" s="143"/>
      <c r="V117" s="143"/>
      <c r="W117" s="143"/>
      <c r="X117" s="143"/>
      <c r="Y117" s="143"/>
      <c r="Z117" s="143"/>
      <c r="AA117" s="36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7"/>
      <c r="BJ117" s="37"/>
      <c r="BK117" s="37"/>
      <c r="BL117" s="37"/>
      <c r="BM117" s="37"/>
      <c r="BN117" s="37"/>
      <c r="BO117" s="37"/>
      <c r="BP117" s="37"/>
      <c r="BQ117" s="37"/>
      <c r="BR117" s="37"/>
      <c r="BS117" s="37"/>
      <c r="BT117" s="37"/>
      <c r="BU117" s="37"/>
      <c r="BV117" s="37"/>
      <c r="BW117" s="37"/>
      <c r="BX117" s="37"/>
      <c r="BY117" s="37"/>
      <c r="BZ117" s="37"/>
      <c r="CA117" s="37"/>
      <c r="CB117" s="37"/>
      <c r="CC117" s="37"/>
      <c r="CD117" s="37"/>
      <c r="CE117" s="37"/>
      <c r="CF117" s="37"/>
      <c r="CG117" s="37"/>
      <c r="CH117" s="37"/>
      <c r="CI117" s="37"/>
      <c r="CJ117" s="37"/>
      <c r="CK117" s="37"/>
      <c r="CL117" s="37"/>
      <c r="CM117" s="37"/>
      <c r="CN117" s="37"/>
      <c r="CO117" s="37"/>
      <c r="CP117" s="37"/>
      <c r="CQ117" s="37"/>
      <c r="CR117" s="37"/>
      <c r="CS117" s="37"/>
      <c r="CT117" s="37"/>
      <c r="CU117" s="37"/>
      <c r="CV117" s="37"/>
      <c r="CW117" s="37"/>
      <c r="CX117" s="37"/>
      <c r="CY117" s="37"/>
      <c r="CZ117" s="37"/>
      <c r="DA117" s="37"/>
      <c r="DB117" s="37"/>
      <c r="DC117" s="37"/>
      <c r="DD117" s="37"/>
      <c r="DE117" s="37"/>
      <c r="DF117" s="37"/>
      <c r="DG117" s="37"/>
      <c r="DH117" s="37"/>
      <c r="DI117" s="37"/>
      <c r="DJ117" s="108"/>
      <c r="DK117" s="108"/>
      <c r="DL117" s="108"/>
      <c r="DM117" s="108"/>
      <c r="DN117" s="108"/>
      <c r="DO117" s="108"/>
      <c r="DP117" s="108"/>
      <c r="DQ117" s="108"/>
      <c r="DR117" s="108"/>
      <c r="DS117" s="108"/>
    </row>
    <row r="118" spans="1:123">
      <c r="A118" s="142"/>
      <c r="B118" s="143"/>
      <c r="C118" s="143"/>
      <c r="D118" s="143"/>
      <c r="E118" s="143"/>
      <c r="F118" s="143"/>
      <c r="G118" s="143"/>
      <c r="H118" s="143"/>
      <c r="I118" s="143"/>
      <c r="J118" s="143"/>
      <c r="K118" s="143"/>
      <c r="L118" s="143"/>
      <c r="M118" s="36"/>
      <c r="N118" s="142"/>
      <c r="O118" s="143"/>
      <c r="P118" s="143"/>
      <c r="Q118" s="143"/>
      <c r="R118" s="143"/>
      <c r="S118" s="143"/>
      <c r="T118" s="143"/>
      <c r="U118" s="143"/>
      <c r="V118" s="143"/>
      <c r="W118" s="143"/>
      <c r="X118" s="143"/>
      <c r="Y118" s="143"/>
      <c r="Z118" s="143"/>
      <c r="AA118" s="36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  <c r="AR118" s="37"/>
      <c r="AS118" s="37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  <c r="BF118" s="37"/>
      <c r="BG118" s="37"/>
      <c r="BH118" s="37"/>
      <c r="BI118" s="37"/>
      <c r="BJ118" s="37"/>
      <c r="BK118" s="37"/>
      <c r="BL118" s="37"/>
      <c r="BM118" s="37"/>
      <c r="BN118" s="37"/>
      <c r="BO118" s="37"/>
      <c r="BP118" s="37"/>
      <c r="BQ118" s="37"/>
      <c r="BR118" s="37"/>
      <c r="BS118" s="37"/>
      <c r="BT118" s="37"/>
      <c r="BU118" s="37"/>
      <c r="BV118" s="37"/>
      <c r="BW118" s="37"/>
      <c r="BX118" s="37"/>
      <c r="BY118" s="37"/>
      <c r="BZ118" s="37"/>
      <c r="CA118" s="37"/>
      <c r="CB118" s="37"/>
      <c r="CC118" s="37"/>
      <c r="CD118" s="37"/>
      <c r="CE118" s="37"/>
      <c r="CF118" s="37"/>
      <c r="CG118" s="37"/>
      <c r="CH118" s="37"/>
      <c r="CI118" s="37"/>
      <c r="CJ118" s="37"/>
      <c r="CK118" s="37"/>
      <c r="CL118" s="37"/>
      <c r="CM118" s="37"/>
      <c r="CN118" s="37"/>
      <c r="CO118" s="37"/>
      <c r="CP118" s="37"/>
      <c r="CQ118" s="37"/>
      <c r="CR118" s="37"/>
      <c r="CS118" s="37"/>
      <c r="CT118" s="37"/>
      <c r="CU118" s="37"/>
      <c r="CV118" s="37"/>
      <c r="CW118" s="37"/>
      <c r="CX118" s="37"/>
      <c r="CY118" s="37"/>
      <c r="CZ118" s="37"/>
      <c r="DA118" s="37"/>
      <c r="DB118" s="37"/>
      <c r="DC118" s="37"/>
      <c r="DD118" s="37"/>
      <c r="DE118" s="37"/>
      <c r="DF118" s="37"/>
      <c r="DG118" s="37"/>
      <c r="DH118" s="37"/>
      <c r="DI118" s="37"/>
      <c r="DJ118" s="108"/>
      <c r="DK118" s="108"/>
      <c r="DL118" s="108"/>
      <c r="DM118" s="108"/>
      <c r="DN118" s="108"/>
      <c r="DO118" s="108"/>
      <c r="DP118" s="108"/>
      <c r="DQ118" s="108"/>
      <c r="DR118" s="108"/>
      <c r="DS118" s="108"/>
    </row>
    <row r="119" spans="1:123">
      <c r="A119" s="142"/>
      <c r="B119" s="143"/>
      <c r="C119" s="143"/>
      <c r="D119" s="143"/>
      <c r="E119" s="143"/>
      <c r="F119" s="143"/>
      <c r="G119" s="143"/>
      <c r="H119" s="143"/>
      <c r="I119" s="143"/>
      <c r="J119" s="143"/>
      <c r="K119" s="143"/>
      <c r="L119" s="143"/>
      <c r="M119" s="36"/>
      <c r="N119" s="142"/>
      <c r="O119" s="143"/>
      <c r="P119" s="143"/>
      <c r="Q119" s="143"/>
      <c r="R119" s="143"/>
      <c r="S119" s="143"/>
      <c r="T119" s="143"/>
      <c r="U119" s="143"/>
      <c r="V119" s="143"/>
      <c r="W119" s="143"/>
      <c r="X119" s="143"/>
      <c r="Y119" s="143"/>
      <c r="Z119" s="143"/>
      <c r="AA119" s="36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7"/>
      <c r="BJ119" s="37"/>
      <c r="BK119" s="37"/>
      <c r="BL119" s="37"/>
      <c r="BM119" s="37"/>
      <c r="BN119" s="37"/>
      <c r="BO119" s="37"/>
      <c r="BP119" s="37"/>
      <c r="BQ119" s="37"/>
      <c r="BR119" s="37"/>
      <c r="BS119" s="37"/>
      <c r="BT119" s="37"/>
      <c r="BU119" s="37"/>
      <c r="BV119" s="37"/>
      <c r="BW119" s="37"/>
      <c r="BX119" s="37"/>
      <c r="BY119" s="37"/>
      <c r="BZ119" s="37"/>
      <c r="CA119" s="37"/>
      <c r="CB119" s="37"/>
      <c r="CC119" s="37"/>
      <c r="CD119" s="37"/>
      <c r="CE119" s="37"/>
      <c r="CF119" s="37"/>
      <c r="CG119" s="37"/>
      <c r="CH119" s="37"/>
      <c r="CI119" s="37"/>
      <c r="CJ119" s="37"/>
      <c r="CK119" s="37"/>
      <c r="CL119" s="37"/>
      <c r="CM119" s="37"/>
      <c r="CN119" s="37"/>
      <c r="CO119" s="37"/>
      <c r="CP119" s="37"/>
      <c r="CQ119" s="37"/>
      <c r="CR119" s="37"/>
      <c r="CS119" s="37"/>
      <c r="CT119" s="37"/>
      <c r="CU119" s="37"/>
      <c r="CV119" s="37"/>
      <c r="CW119" s="37"/>
      <c r="CX119" s="37"/>
      <c r="CY119" s="37"/>
      <c r="CZ119" s="37"/>
      <c r="DA119" s="37"/>
      <c r="DB119" s="37"/>
      <c r="DC119" s="37"/>
      <c r="DD119" s="37"/>
      <c r="DE119" s="37"/>
      <c r="DF119" s="37"/>
      <c r="DG119" s="37"/>
      <c r="DH119" s="37"/>
      <c r="DI119" s="37"/>
      <c r="DJ119" s="108"/>
      <c r="DK119" s="108"/>
      <c r="DL119" s="108"/>
      <c r="DM119" s="108"/>
      <c r="DN119" s="108"/>
      <c r="DO119" s="108"/>
      <c r="DP119" s="108"/>
      <c r="DQ119" s="108"/>
      <c r="DR119" s="108"/>
      <c r="DS119" s="108"/>
    </row>
    <row r="120" spans="1:123">
      <c r="A120" s="142"/>
      <c r="B120" s="143"/>
      <c r="C120" s="143"/>
      <c r="D120" s="143"/>
      <c r="E120" s="143"/>
      <c r="F120" s="143"/>
      <c r="G120" s="143"/>
      <c r="H120" s="143"/>
      <c r="I120" s="143"/>
      <c r="J120" s="143"/>
      <c r="K120" s="143"/>
      <c r="L120" s="143"/>
      <c r="M120" s="36"/>
      <c r="N120" s="142"/>
      <c r="O120" s="143"/>
      <c r="P120" s="143"/>
      <c r="Q120" s="143"/>
      <c r="R120" s="143"/>
      <c r="S120" s="143"/>
      <c r="T120" s="143"/>
      <c r="U120" s="143"/>
      <c r="V120" s="143"/>
      <c r="W120" s="143"/>
      <c r="X120" s="143"/>
      <c r="Y120" s="143"/>
      <c r="Z120" s="143"/>
      <c r="AA120" s="36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  <c r="AS120" s="37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  <c r="BJ120" s="37"/>
      <c r="BK120" s="37"/>
      <c r="BL120" s="37"/>
      <c r="BM120" s="37"/>
      <c r="BN120" s="37"/>
      <c r="BO120" s="37"/>
      <c r="BP120" s="37"/>
      <c r="BQ120" s="37"/>
      <c r="BR120" s="37"/>
      <c r="BS120" s="37"/>
      <c r="BT120" s="37"/>
      <c r="BU120" s="37"/>
      <c r="BV120" s="37"/>
      <c r="BW120" s="37"/>
      <c r="BX120" s="37"/>
      <c r="BY120" s="37"/>
      <c r="BZ120" s="37"/>
      <c r="CA120" s="37"/>
      <c r="CB120" s="37"/>
      <c r="CC120" s="37"/>
      <c r="CD120" s="37"/>
      <c r="CE120" s="37"/>
      <c r="CF120" s="37"/>
      <c r="CG120" s="37"/>
      <c r="CH120" s="37"/>
      <c r="CI120" s="37"/>
      <c r="CJ120" s="37"/>
      <c r="CK120" s="37"/>
      <c r="CL120" s="37"/>
      <c r="CM120" s="37"/>
      <c r="CN120" s="37"/>
      <c r="CO120" s="37"/>
      <c r="CP120" s="37"/>
      <c r="CQ120" s="37"/>
      <c r="CR120" s="37"/>
      <c r="CS120" s="37"/>
      <c r="CT120" s="37"/>
      <c r="CU120" s="37"/>
      <c r="CV120" s="37"/>
      <c r="CW120" s="37"/>
      <c r="CX120" s="37"/>
      <c r="CY120" s="37"/>
      <c r="CZ120" s="37"/>
      <c r="DA120" s="37"/>
      <c r="DB120" s="37"/>
      <c r="DC120" s="37"/>
      <c r="DD120" s="37"/>
      <c r="DE120" s="37"/>
      <c r="DF120" s="37"/>
      <c r="DG120" s="37"/>
      <c r="DH120" s="37"/>
      <c r="DI120" s="37"/>
      <c r="DJ120" s="108"/>
      <c r="DK120" s="108"/>
      <c r="DL120" s="108"/>
      <c r="DM120" s="108"/>
      <c r="DN120" s="108"/>
      <c r="DO120" s="108"/>
      <c r="DP120" s="108"/>
      <c r="DQ120" s="108"/>
      <c r="DR120" s="108"/>
      <c r="DS120" s="108"/>
    </row>
    <row r="121" spans="1:123">
      <c r="A121" s="32"/>
      <c r="B121" s="33"/>
      <c r="C121" s="33" t="s">
        <v>471</v>
      </c>
      <c r="D121" s="33"/>
      <c r="E121" s="33"/>
      <c r="F121" s="33"/>
      <c r="G121" s="33"/>
      <c r="H121" s="33"/>
      <c r="I121" s="33"/>
      <c r="J121" s="33"/>
      <c r="K121" s="33"/>
      <c r="L121" s="33"/>
      <c r="M121" s="36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6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7"/>
      <c r="BJ121" s="37"/>
      <c r="BK121" s="37"/>
      <c r="BL121" s="37"/>
      <c r="BM121" s="37"/>
      <c r="BN121" s="37"/>
      <c r="BO121" s="37"/>
      <c r="BP121" s="37"/>
      <c r="BQ121" s="37"/>
      <c r="BR121" s="37"/>
      <c r="BS121" s="37"/>
      <c r="BT121" s="37"/>
      <c r="BU121" s="37"/>
      <c r="BV121" s="37"/>
      <c r="BW121" s="37"/>
      <c r="BX121" s="37"/>
      <c r="BY121" s="37">
        <f>BY86+1</f>
        <v>87</v>
      </c>
      <c r="BZ121" s="37" t="s">
        <v>472</v>
      </c>
      <c r="CA121" s="37"/>
      <c r="CB121" s="37"/>
      <c r="CC121" s="37"/>
      <c r="CD121" s="37"/>
      <c r="CE121" s="37"/>
      <c r="CF121" s="37"/>
      <c r="CG121" s="37"/>
      <c r="CH121" s="37"/>
      <c r="CI121" s="37"/>
      <c r="CJ121" s="37"/>
      <c r="CK121" s="37"/>
      <c r="CL121" s="148" t="s">
        <v>333</v>
      </c>
      <c r="CM121" s="148" t="s">
        <v>333</v>
      </c>
      <c r="CN121" s="148" t="s">
        <v>333</v>
      </c>
      <c r="CO121" s="148" t="s">
        <v>333</v>
      </c>
      <c r="CP121" s="148" t="s">
        <v>333</v>
      </c>
      <c r="CQ121" s="148" t="s">
        <v>333</v>
      </c>
      <c r="CR121" s="148" t="s">
        <v>333</v>
      </c>
      <c r="CS121" s="148" t="s">
        <v>333</v>
      </c>
      <c r="CT121" s="148" t="s">
        <v>333</v>
      </c>
      <c r="CU121" s="148" t="s">
        <v>333</v>
      </c>
      <c r="CV121" s="148" t="s">
        <v>333</v>
      </c>
      <c r="CW121" s="148" t="s">
        <v>333</v>
      </c>
      <c r="CX121" s="148" t="s">
        <v>333</v>
      </c>
      <c r="CY121" s="148" t="s">
        <v>333</v>
      </c>
      <c r="CZ121" s="148" t="s">
        <v>333</v>
      </c>
      <c r="DA121" s="148" t="s">
        <v>333</v>
      </c>
      <c r="DB121" s="148" t="s">
        <v>333</v>
      </c>
      <c r="DC121" s="148" t="s">
        <v>333</v>
      </c>
      <c r="DD121" s="148" t="s">
        <v>333</v>
      </c>
      <c r="DE121" s="148" t="s">
        <v>333</v>
      </c>
      <c r="DF121" s="148" t="s">
        <v>333</v>
      </c>
      <c r="DG121" s="37" t="s">
        <v>333</v>
      </c>
      <c r="DH121" s="37"/>
      <c r="DI121" s="37"/>
      <c r="DJ121" s="108"/>
      <c r="DK121" s="108"/>
      <c r="DL121" s="108"/>
      <c r="DM121" s="108"/>
      <c r="DN121" s="108"/>
      <c r="DO121" s="108"/>
      <c r="DP121" s="108"/>
      <c r="DQ121" s="108"/>
      <c r="DR121" s="108"/>
      <c r="DS121" s="108"/>
    </row>
    <row r="122" spans="1:123">
      <c r="A122" s="109"/>
      <c r="B122" s="109"/>
      <c r="C122" s="109"/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  <c r="R122" s="109"/>
      <c r="S122" s="109"/>
      <c r="T122" s="109"/>
      <c r="U122" s="109"/>
      <c r="V122" s="109"/>
      <c r="W122" s="109"/>
      <c r="X122" s="109"/>
      <c r="Y122" s="109"/>
      <c r="Z122" s="109"/>
      <c r="AA122" s="108"/>
      <c r="AB122" s="108"/>
      <c r="AC122" s="108"/>
      <c r="AD122" s="108"/>
      <c r="AE122" s="108"/>
      <c r="AF122" s="108"/>
      <c r="AG122" s="108"/>
      <c r="AH122" s="108"/>
      <c r="AI122" s="108"/>
      <c r="AJ122" s="108"/>
      <c r="AK122" s="108"/>
      <c r="AL122" s="108"/>
      <c r="AM122" s="108"/>
      <c r="AN122" s="108"/>
      <c r="AO122" s="108"/>
      <c r="AP122" s="108"/>
      <c r="AQ122" s="108"/>
      <c r="AR122" s="108"/>
      <c r="AS122" s="108"/>
      <c r="AT122" s="108"/>
      <c r="AU122" s="108"/>
      <c r="AV122" s="108"/>
      <c r="AW122" s="108"/>
      <c r="AX122" s="108"/>
      <c r="AY122" s="108"/>
      <c r="AZ122" s="108"/>
      <c r="BA122" s="108"/>
      <c r="BB122" s="108"/>
      <c r="BC122" s="108"/>
      <c r="BD122" s="108"/>
      <c r="BE122" s="108"/>
      <c r="BF122" s="108"/>
      <c r="BG122" s="108"/>
      <c r="BH122" s="108"/>
      <c r="BI122" s="108"/>
      <c r="BJ122" s="108"/>
      <c r="BK122" s="108"/>
      <c r="BL122" s="108"/>
      <c r="BM122" s="108"/>
      <c r="BN122" s="108"/>
      <c r="BO122" s="108"/>
      <c r="BP122" s="108"/>
      <c r="BQ122" s="108"/>
      <c r="BR122" s="108"/>
      <c r="BS122" s="108"/>
      <c r="BT122" s="108"/>
      <c r="BU122" s="108"/>
      <c r="BV122" s="108"/>
      <c r="BW122" s="108"/>
      <c r="BX122" s="108"/>
      <c r="BY122" s="108"/>
      <c r="BZ122" s="108"/>
      <c r="CA122" s="108"/>
      <c r="CB122" s="108"/>
      <c r="CC122" s="108"/>
      <c r="CD122" s="108"/>
      <c r="CE122" s="108"/>
      <c r="CF122" s="108"/>
      <c r="CG122" s="108"/>
      <c r="CH122" s="108"/>
      <c r="CI122" s="108"/>
      <c r="CJ122" s="108"/>
      <c r="CK122" s="108"/>
      <c r="CL122" s="108"/>
      <c r="CM122" s="108"/>
      <c r="CN122" s="108"/>
      <c r="CO122" s="108"/>
      <c r="CP122" s="108"/>
      <c r="CQ122" s="108"/>
      <c r="CR122" s="108"/>
      <c r="CS122" s="108"/>
      <c r="CT122" s="108"/>
      <c r="CU122" s="108"/>
      <c r="CV122" s="108"/>
      <c r="CW122" s="108"/>
      <c r="CX122" s="108"/>
      <c r="CY122" s="108"/>
      <c r="CZ122" s="108"/>
      <c r="DA122" s="108"/>
      <c r="DB122" s="108"/>
      <c r="DC122" s="108"/>
      <c r="DD122" s="108"/>
      <c r="DE122" s="108"/>
      <c r="DF122" s="108"/>
      <c r="DG122" s="108"/>
      <c r="DH122" s="108"/>
      <c r="DI122" s="108"/>
      <c r="DJ122" s="108"/>
      <c r="DK122" s="108"/>
      <c r="DL122" s="108"/>
      <c r="DM122" s="108"/>
      <c r="DN122" s="108"/>
      <c r="DO122" s="108"/>
      <c r="DP122" s="108"/>
      <c r="DQ122" s="108"/>
      <c r="DR122" s="108"/>
      <c r="DS122" s="108"/>
    </row>
  </sheetData>
  <mergeCells count="1">
    <mergeCell ref="I5:K5"/>
  </mergeCells>
  <phoneticPr fontId="0" type="noConversion"/>
  <hyperlinks>
    <hyperlink ref="I5" r:id="rId1"/>
  </hyperlinks>
  <pageMargins left="2.3604166666666666" right="0.25" top="3.1479166666666667" bottom="0.58472222222222225" header="0.5" footer="0.5"/>
  <pageSetup scale="59" orientation="portrait" horizontalDpi="360" verticalDpi="360" r:id="rId2"/>
  <headerFooter alignWithMargins="0"/>
  <rowBreaks count="1" manualBreakCount="1">
    <brk id="67" max="65535" man="1"/>
  </rowBreaks>
  <colBreaks count="4" manualBreakCount="4">
    <brk id="10" max="1048575" man="1"/>
    <brk id="20" max="1048575" man="1"/>
    <brk id="30" max="1048575" man="1"/>
    <brk id="38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</vt:i4>
      </vt:variant>
    </vt:vector>
  </HeadingPairs>
  <TitlesOfParts>
    <vt:vector size="12" baseType="lpstr">
      <vt:lpstr>A</vt:lpstr>
      <vt:lpstr>ANSWERS</vt:lpstr>
      <vt:lpstr>HEADER</vt:lpstr>
      <vt:lpstr>HELP_FILE</vt:lpstr>
      <vt:lpstr>KNOWLEDGE_BASE</vt:lpstr>
      <vt:lpstr>LOGO</vt:lpstr>
      <vt:lpstr>PARAMETERS</vt:lpstr>
      <vt:lpstr>A!Print_Area</vt:lpstr>
      <vt:lpstr>RAW_DATA</vt:lpstr>
      <vt:lpstr>RW_CALC</vt:lpstr>
      <vt:lpstr>TITLE</vt:lpstr>
      <vt:lpstr>WEASEL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</dc:creator>
  <cp:lastModifiedBy>ross</cp:lastModifiedBy>
  <dcterms:created xsi:type="dcterms:W3CDTF">2018-09-28T21:17:14Z</dcterms:created>
  <dcterms:modified xsi:type="dcterms:W3CDTF">2018-10-04T01:01:13Z</dcterms:modified>
</cp:coreProperties>
</file>